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rner/Downloads/"/>
    </mc:Choice>
  </mc:AlternateContent>
  <xr:revisionPtr revIDLastSave="0" documentId="8_{67C38B93-CAB8-9441-A4B9-1A80FCABAD15}" xr6:coauthVersionLast="47" xr6:coauthVersionMax="47" xr10:uidLastSave="{00000000-0000-0000-0000-000000000000}"/>
  <bookViews>
    <workbookView xWindow="1740" yWindow="1720" windowWidth="14060" windowHeight="16640" activeTab="1" xr2:uid="{4DAE594A-6BA4-E74E-B1C8-458B96804514}"/>
  </bookViews>
  <sheets>
    <sheet name="Ramic 2023" sheetId="1" r:id="rId1"/>
    <sheet name="Bertl St." sheetId="2" r:id="rId2"/>
    <sheet name="Max Schr" sheetId="3" r:id="rId3"/>
  </sheets>
  <definedNames>
    <definedName name="_xlnm.Print_Area" localSheetId="0">'Ramic 2023'!$A$6:$M$71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2" l="1"/>
  <c r="C36" i="3"/>
  <c r="E21" i="3"/>
  <c r="C48" i="3" s="1"/>
  <c r="D48" i="3" s="1"/>
  <c r="C65" i="3" s="1"/>
  <c r="E16" i="3"/>
  <c r="R76" i="3"/>
  <c r="R77" i="3" s="1"/>
  <c r="C70" i="3"/>
  <c r="I53" i="3"/>
  <c r="C52" i="3"/>
  <c r="D52" i="3" s="1"/>
  <c r="D63" i="3" s="1"/>
  <c r="D51" i="3"/>
  <c r="N49" i="3"/>
  <c r="H49" i="3"/>
  <c r="C49" i="3"/>
  <c r="D49" i="3" s="1"/>
  <c r="C66" i="3" s="1"/>
  <c r="E43" i="3"/>
  <c r="E42" i="3"/>
  <c r="U41" i="3"/>
  <c r="U43" i="3" s="1"/>
  <c r="U44" i="3" s="1"/>
  <c r="C38" i="3" s="1"/>
  <c r="E41" i="3"/>
  <c r="D59" i="3" s="1"/>
  <c r="C32" i="3"/>
  <c r="C30" i="3"/>
  <c r="C29" i="3"/>
  <c r="D26" i="3"/>
  <c r="H25" i="3"/>
  <c r="L25" i="3" s="1"/>
  <c r="E24" i="3"/>
  <c r="Q23" i="3"/>
  <c r="T23" i="3" s="1"/>
  <c r="E23" i="3"/>
  <c r="Q22" i="3"/>
  <c r="E22" i="3"/>
  <c r="Q19" i="3"/>
  <c r="C37" i="3"/>
  <c r="Q15" i="3"/>
  <c r="E16" i="2"/>
  <c r="C37" i="2" s="1"/>
  <c r="R76" i="2"/>
  <c r="R77" i="2" s="1"/>
  <c r="I53" i="2"/>
  <c r="D51" i="2"/>
  <c r="C70" i="2" s="1"/>
  <c r="N49" i="2"/>
  <c r="H49" i="2"/>
  <c r="C49" i="2"/>
  <c r="D49" i="2" s="1"/>
  <c r="C66" i="2" s="1"/>
  <c r="E43" i="2"/>
  <c r="E42" i="2"/>
  <c r="U41" i="2"/>
  <c r="U43" i="2" s="1"/>
  <c r="U44" i="2" s="1"/>
  <c r="C38" i="2" s="1"/>
  <c r="C32" i="2"/>
  <c r="E41" i="2" s="1"/>
  <c r="D59" i="2" s="1"/>
  <c r="C31" i="2"/>
  <c r="E40" i="2" s="1"/>
  <c r="D58" i="2" s="1"/>
  <c r="C30" i="2"/>
  <c r="C29" i="2"/>
  <c r="D26" i="2"/>
  <c r="H25" i="2" s="1"/>
  <c r="L25" i="2" s="1"/>
  <c r="E24" i="2"/>
  <c r="Q23" i="2"/>
  <c r="T23" i="2" s="1"/>
  <c r="E23" i="2"/>
  <c r="E25" i="2" s="1"/>
  <c r="C55" i="2" s="1"/>
  <c r="T22" i="2"/>
  <c r="Q22" i="2"/>
  <c r="E22" i="2"/>
  <c r="E21" i="2"/>
  <c r="C48" i="2" s="1"/>
  <c r="D48" i="2" s="1"/>
  <c r="C65" i="2" s="1"/>
  <c r="Q19" i="2"/>
  <c r="Q20" i="2" s="1"/>
  <c r="C28" i="2" s="1"/>
  <c r="Q15" i="2"/>
  <c r="T22" i="1"/>
  <c r="C27" i="1" s="1"/>
  <c r="I21" i="1"/>
  <c r="D26" i="1"/>
  <c r="D67" i="3" l="1"/>
  <c r="Q24" i="3"/>
  <c r="Q20" i="3"/>
  <c r="C28" i="3" s="1"/>
  <c r="T22" i="3"/>
  <c r="C50" i="3"/>
  <c r="D50" i="3" s="1"/>
  <c r="C69" i="3" s="1"/>
  <c r="D71" i="3" s="1"/>
  <c r="C62" i="3"/>
  <c r="I21" i="3"/>
  <c r="E25" i="3"/>
  <c r="C31" i="3"/>
  <c r="E40" i="3" s="1"/>
  <c r="D58" i="3" s="1"/>
  <c r="Q24" i="2"/>
  <c r="D67" i="2"/>
  <c r="C27" i="2"/>
  <c r="C50" i="2"/>
  <c r="D50" i="2" s="1"/>
  <c r="C69" i="2" s="1"/>
  <c r="D71" i="2" s="1"/>
  <c r="I21" i="2"/>
  <c r="C25" i="2"/>
  <c r="E26" i="2" s="1"/>
  <c r="C52" i="2"/>
  <c r="D52" i="2" s="1"/>
  <c r="C36" i="1"/>
  <c r="C37" i="1"/>
  <c r="C31" i="1"/>
  <c r="E40" i="1" s="1"/>
  <c r="D58" i="1" s="1"/>
  <c r="R76" i="1"/>
  <c r="R77" i="1" s="1"/>
  <c r="I53" i="1"/>
  <c r="D51" i="1"/>
  <c r="C70" i="1" s="1"/>
  <c r="N49" i="1"/>
  <c r="H49" i="1"/>
  <c r="E43" i="1"/>
  <c r="E42" i="1"/>
  <c r="U41" i="1"/>
  <c r="U43" i="1" s="1"/>
  <c r="U44" i="1" s="1"/>
  <c r="C38" i="1" s="1"/>
  <c r="C32" i="1"/>
  <c r="E41" i="1" s="1"/>
  <c r="D59" i="1" s="1"/>
  <c r="C30" i="1"/>
  <c r="C29" i="1"/>
  <c r="E24" i="1"/>
  <c r="Q23" i="1"/>
  <c r="T23" i="1" s="1"/>
  <c r="E23" i="1"/>
  <c r="Q22" i="1"/>
  <c r="E22" i="1"/>
  <c r="E21" i="1"/>
  <c r="C50" i="1" s="1"/>
  <c r="D50" i="1" s="1"/>
  <c r="C69" i="1" s="1"/>
  <c r="Q19" i="1"/>
  <c r="C27" i="3" l="1"/>
  <c r="C55" i="3"/>
  <c r="C25" i="3"/>
  <c r="H55" i="3"/>
  <c r="M21" i="3"/>
  <c r="H26" i="3"/>
  <c r="I25" i="3"/>
  <c r="D56" i="2"/>
  <c r="C26" i="2"/>
  <c r="D63" i="2"/>
  <c r="C62" i="2"/>
  <c r="C33" i="2"/>
  <c r="H55" i="2"/>
  <c r="I25" i="2"/>
  <c r="M21" i="2"/>
  <c r="H26" i="2"/>
  <c r="Q15" i="1"/>
  <c r="D71" i="1"/>
  <c r="Q24" i="1"/>
  <c r="Q20" i="1"/>
  <c r="C28" i="1" s="1"/>
  <c r="E25" i="1"/>
  <c r="H25" i="1"/>
  <c r="L25" i="1" s="1"/>
  <c r="C48" i="1"/>
  <c r="D48" i="1" s="1"/>
  <c r="C65" i="1" s="1"/>
  <c r="C52" i="1"/>
  <c r="D52" i="1" s="1"/>
  <c r="C49" i="1"/>
  <c r="D49" i="1" s="1"/>
  <c r="C66" i="1" s="1"/>
  <c r="H27" i="3" l="1"/>
  <c r="I56" i="3"/>
  <c r="H34" i="3"/>
  <c r="I35" i="3" s="1"/>
  <c r="I57" i="3" s="1"/>
  <c r="L55" i="3"/>
  <c r="L26" i="3"/>
  <c r="M25" i="3"/>
  <c r="I44" i="3"/>
  <c r="E26" i="3"/>
  <c r="M25" i="2"/>
  <c r="L26" i="2"/>
  <c r="L55" i="2"/>
  <c r="H27" i="2"/>
  <c r="I56" i="2"/>
  <c r="C34" i="2"/>
  <c r="C35" i="2" s="1"/>
  <c r="C39" i="2" s="1"/>
  <c r="E39" i="2" s="1"/>
  <c r="H34" i="2"/>
  <c r="I35" i="2" s="1"/>
  <c r="I57" i="2" s="1"/>
  <c r="D67" i="1"/>
  <c r="D63" i="1"/>
  <c r="C62" i="1"/>
  <c r="C55" i="1"/>
  <c r="C25" i="1"/>
  <c r="H55" i="1"/>
  <c r="I25" i="1"/>
  <c r="M21" i="1"/>
  <c r="H26" i="1"/>
  <c r="D56" i="3" l="1"/>
  <c r="C26" i="3"/>
  <c r="C33" i="3" s="1"/>
  <c r="I60" i="3"/>
  <c r="L27" i="3"/>
  <c r="M56" i="3"/>
  <c r="L34" i="3"/>
  <c r="M35" i="3" s="1"/>
  <c r="M57" i="3" s="1"/>
  <c r="D57" i="2"/>
  <c r="E44" i="2"/>
  <c r="D60" i="2" s="1"/>
  <c r="I44" i="2"/>
  <c r="L27" i="2"/>
  <c r="L34" i="2" s="1"/>
  <c r="M35" i="2" s="1"/>
  <c r="M56" i="2"/>
  <c r="H27" i="1"/>
  <c r="H34" i="1" s="1"/>
  <c r="I35" i="1" s="1"/>
  <c r="I56" i="1"/>
  <c r="L55" i="1"/>
  <c r="M25" i="1"/>
  <c r="L26" i="1"/>
  <c r="E26" i="1"/>
  <c r="M44" i="3" l="1"/>
  <c r="C34" i="3"/>
  <c r="C35" i="3" s="1"/>
  <c r="C39" i="3" s="1"/>
  <c r="E39" i="3" s="1"/>
  <c r="M57" i="2"/>
  <c r="M44" i="2"/>
  <c r="I60" i="2"/>
  <c r="I45" i="2"/>
  <c r="I57" i="1"/>
  <c r="I44" i="1"/>
  <c r="D56" i="1"/>
  <c r="C26" i="1"/>
  <c r="C33" i="1" s="1"/>
  <c r="L27" i="1"/>
  <c r="L34" i="1" s="1"/>
  <c r="M35" i="1" s="1"/>
  <c r="M56" i="1"/>
  <c r="D57" i="3" l="1"/>
  <c r="E44" i="3"/>
  <c r="M60" i="3"/>
  <c r="M60" i="2"/>
  <c r="M45" i="2"/>
  <c r="M57" i="1"/>
  <c r="M44" i="1"/>
  <c r="C34" i="1"/>
  <c r="C35" i="1" s="1"/>
  <c r="C39" i="1" s="1"/>
  <c r="E39" i="1" s="1"/>
  <c r="I60" i="1"/>
  <c r="D60" i="3" l="1"/>
  <c r="I45" i="3"/>
  <c r="M45" i="3"/>
  <c r="D57" i="1"/>
  <c r="E44" i="1"/>
  <c r="M45" i="1" s="1"/>
  <c r="M60" i="1"/>
  <c r="D60" i="1" l="1"/>
  <c r="I45" i="1"/>
</calcChain>
</file>

<file path=xl/sharedStrings.xml><?xml version="1.0" encoding="utf-8"?>
<sst xmlns="http://schemas.openxmlformats.org/spreadsheetml/2006/main" count="571" uniqueCount="154">
  <si>
    <t>AB…</t>
  </si>
  <si>
    <t>Angaben</t>
  </si>
  <si>
    <t>mit FABOplus voll</t>
  </si>
  <si>
    <t>Bruttogehalt</t>
  </si>
  <si>
    <t xml:space="preserve">  </t>
  </si>
  <si>
    <t>Überstundenteiler</t>
  </si>
  <si>
    <t>50% ÜST</t>
  </si>
  <si>
    <t>100% ÜST</t>
  </si>
  <si>
    <t>Freibetrag</t>
  </si>
  <si>
    <t>Eingabe des FB</t>
  </si>
  <si>
    <t>Pendlerpauschale (klein/groß)</t>
  </si>
  <si>
    <t>groß</t>
  </si>
  <si>
    <t>klein, oder groß</t>
  </si>
  <si>
    <t>km</t>
  </si>
  <si>
    <t>wenn Penderlpauschale bezogen wird, dann hier die km der einfachen Fahrstrecke</t>
  </si>
  <si>
    <t>Gewerkschaftsbeitrag (ja/nein)</t>
  </si>
  <si>
    <t>nein</t>
  </si>
  <si>
    <t>E-Card Gebühr (Nov)</t>
  </si>
  <si>
    <t>Kinder (unter 18 Jahren)</t>
  </si>
  <si>
    <t>Anzahl der Kinder bei AVAB/AEAB</t>
  </si>
  <si>
    <t>voller FABOplus</t>
  </si>
  <si>
    <t>Betriebsratsumlage</t>
  </si>
  <si>
    <t>Eingabe des Betrages der BU</t>
  </si>
  <si>
    <t>Rückzahlung Akonto</t>
  </si>
  <si>
    <t>Eingabe des Betrages des Akontos das zurückgezahlt werden soll.</t>
  </si>
  <si>
    <t>ÜST Teiler</t>
  </si>
  <si>
    <t>Laufender Bezug: LATO</t>
  </si>
  <si>
    <t>1 SZ (i.d.R. Urlaubsren.)</t>
  </si>
  <si>
    <t>2. SZ (i.d.R. Weihnachtsren.)</t>
  </si>
  <si>
    <t>2SZ (Weihn.ren)</t>
  </si>
  <si>
    <t>ÜST Grundlohn</t>
  </si>
  <si>
    <t>ÜST 50 %:</t>
  </si>
  <si>
    <t>Steuerfrei:</t>
  </si>
  <si>
    <t>ÜST 100%</t>
  </si>
  <si>
    <t>ÜST Anzahl</t>
  </si>
  <si>
    <t xml:space="preserve">Bruttobezug </t>
  </si>
  <si>
    <t xml:space="preserve">   Bruttobezug</t>
  </si>
  <si>
    <t>SV</t>
  </si>
  <si>
    <t>- Sozialversicherung (SV)</t>
  </si>
  <si>
    <t xml:space="preserve">    - SV</t>
  </si>
  <si>
    <t xml:space="preserve">    Brutto</t>
  </si>
  <si>
    <t>- Lohnsteuer</t>
  </si>
  <si>
    <t xml:space="preserve">      -SV</t>
  </si>
  <si>
    <t xml:space="preserve">    - Freibetrag</t>
  </si>
  <si>
    <t xml:space="preserve">    - Pendlerpauschale</t>
  </si>
  <si>
    <t>Sozialversicherung</t>
  </si>
  <si>
    <t>A+A</t>
  </si>
  <si>
    <t xml:space="preserve">    - Gewerkschaftsbeitrag</t>
  </si>
  <si>
    <t xml:space="preserve">     -FB</t>
  </si>
  <si>
    <t>Geringfügkgr.</t>
  </si>
  <si>
    <t xml:space="preserve">    - E-Card-Gebühr (Nov)</t>
  </si>
  <si>
    <t>ab</t>
  </si>
  <si>
    <t xml:space="preserve">  Bemessungsgrundlage</t>
  </si>
  <si>
    <t>*Steuersatz lt Tabelle</t>
  </si>
  <si>
    <t xml:space="preserve">      BMG</t>
  </si>
  <si>
    <t xml:space="preserve">   </t>
  </si>
  <si>
    <t>= Steuerbetrag vor Abzug</t>
  </si>
  <si>
    <t>LST (ohne Abzug)</t>
  </si>
  <si>
    <t>=- Abzug lt Tabelle (Kinder...)</t>
  </si>
  <si>
    <t>ab (Maxbetrag)</t>
  </si>
  <si>
    <t>- FABO</t>
  </si>
  <si>
    <t>- Abzug</t>
  </si>
  <si>
    <t>Pendler€ 2€ einf. p km p.a.</t>
  </si>
  <si>
    <t>Lohnsteuerbetrag</t>
  </si>
  <si>
    <t xml:space="preserve">  Lohnsteuerbetrag</t>
  </si>
  <si>
    <t>kleines Pendlerpauschale</t>
  </si>
  <si>
    <t>großes Pendlerpauschale</t>
  </si>
  <si>
    <t>Pendlereuro</t>
  </si>
  <si>
    <t>- Gewerkschaftsbeitrag</t>
  </si>
  <si>
    <t>- E-Card-Gebühr</t>
  </si>
  <si>
    <t>km einfach</t>
  </si>
  <si>
    <t>- Betriebsratsumlage</t>
  </si>
  <si>
    <t>€pro km</t>
  </si>
  <si>
    <t>- Rückzahlung Gehaltsvorschuss</t>
  </si>
  <si>
    <t>jährl</t>
  </si>
  <si>
    <t>Auszahlungsbetrag netto</t>
  </si>
  <si>
    <t>Auszahlung</t>
  </si>
  <si>
    <t>monatli</t>
  </si>
  <si>
    <t>Auszahlungsbetrag inkl SZ</t>
  </si>
  <si>
    <t>Effektiv-Tarif-Tabelle 2022 für Arbeitnehmer/innen</t>
  </si>
  <si>
    <t>Lohnnebenkosten 15. Folgemon.fällig</t>
  </si>
  <si>
    <t>%Satz bzw. Euro</t>
  </si>
  <si>
    <t>Basis</t>
  </si>
  <si>
    <t>Betrag</t>
  </si>
  <si>
    <t>für wen</t>
  </si>
  <si>
    <t>LSt-Bemessungsgrundlage</t>
  </si>
  <si>
    <t>Steuersatz</t>
  </si>
  <si>
    <r>
      <t xml:space="preserve">ohne </t>
    </r>
    <r>
      <rPr>
        <sz val="9"/>
        <rFont val="Myriad Pro"/>
        <family val="2"/>
      </rPr>
      <t>AV/AEAB</t>
    </r>
  </si>
  <si>
    <r>
      <t xml:space="preserve">mit </t>
    </r>
    <r>
      <rPr>
        <sz val="9"/>
        <rFont val="Myriad Pro"/>
        <family val="2"/>
      </rPr>
      <t>Alleinverdiener oder Alleinerzieher (AV/AEB) für Kinder...</t>
    </r>
  </si>
  <si>
    <t>DB</t>
  </si>
  <si>
    <t>Finanzamt</t>
  </si>
  <si>
    <t>Abzug</t>
  </si>
  <si>
    <t>DZ (Wien)</t>
  </si>
  <si>
    <t>Kommst</t>
  </si>
  <si>
    <t>Stadt Wien</t>
  </si>
  <si>
    <t>Ubahnst 2€ pro Woche (beg.)</t>
  </si>
  <si>
    <t>SVA DGA</t>
  </si>
  <si>
    <t>Österreichische Gesundheitskasse</t>
  </si>
  <si>
    <t>laufender Bezug</t>
  </si>
  <si>
    <t>SZ Juni (Urlaubsgeld)</t>
  </si>
  <si>
    <t>SZ November (Weihnachrsrenumeration)</t>
  </si>
  <si>
    <t>6 Gehälter</t>
  </si>
  <si>
    <t>6 Gehälter/SZ</t>
  </si>
  <si>
    <t>an 3 Verb O Gebietskrankenkasse</t>
  </si>
  <si>
    <t>an 3 Verb OGK</t>
  </si>
  <si>
    <t>an 3 Verb Finanzamt</t>
  </si>
  <si>
    <t>an 3 Verb FA</t>
  </si>
  <si>
    <t>an 3 so. Verb</t>
  </si>
  <si>
    <t xml:space="preserve"> </t>
  </si>
  <si>
    <t>an 3 Verb Mitarbeiter</t>
  </si>
  <si>
    <t>an 3 Verb MA</t>
  </si>
  <si>
    <t>Hinweise</t>
  </si>
  <si>
    <t>Brutto</t>
  </si>
  <si>
    <t>Zellenbezug</t>
  </si>
  <si>
    <t>6 SV</t>
  </si>
  <si>
    <t>SV BMG</t>
  </si>
  <si>
    <t>Wenn-Funktion (Wenn Brutto kleiner als Höchstbeitragsgrundlage,...)</t>
  </si>
  <si>
    <t>an 3 Verb ÖGK</t>
  </si>
  <si>
    <t>SV Satz</t>
  </si>
  <si>
    <t>S-verweis, Schaue in Tabelle nach und verwende den zugeordneten Wert, dh ab 395,31 &gt; 14,07%</t>
  </si>
  <si>
    <t>SV Betrag</t>
  </si>
  <si>
    <t>Formel</t>
  </si>
  <si>
    <t>6 DB</t>
  </si>
  <si>
    <t>FB</t>
  </si>
  <si>
    <t>6 Zusch. DB</t>
  </si>
  <si>
    <t>BMG</t>
  </si>
  <si>
    <t>Summe</t>
  </si>
  <si>
    <t>Steuerbetrag</t>
  </si>
  <si>
    <t>6 Kommunalst</t>
  </si>
  <si>
    <t>Auszahlungsbetrag</t>
  </si>
  <si>
    <t>6 DGA Wien</t>
  </si>
  <si>
    <t>an 3 Ver Gemeinde</t>
  </si>
  <si>
    <t>Werte für 2014-2016</t>
  </si>
  <si>
    <t>Lohnsteuer</t>
  </si>
  <si>
    <t>Angestellte</t>
  </si>
  <si>
    <t>Geringfügigkeitsgrenze:</t>
  </si>
  <si>
    <t>Ramic</t>
  </si>
  <si>
    <t>ja</t>
  </si>
  <si>
    <t>klein</t>
  </si>
  <si>
    <t>Werte für 2024</t>
  </si>
  <si>
    <t>13,8 € nur im November</t>
  </si>
  <si>
    <t>1 % des Bruttobezuges, max 38,70 €</t>
  </si>
  <si>
    <t>ÜST Grundlohn (=13,526*20)</t>
  </si>
  <si>
    <t>Überstundenzuschlag (ÜZ) 50 % (=13,526/2*14)</t>
  </si>
  <si>
    <t>Überstundenzuschlag (ÜZ)100 % (=13,526*6)</t>
  </si>
  <si>
    <t xml:space="preserve">    - ÜZ st.frei (100%) m 400€</t>
  </si>
  <si>
    <t xml:space="preserve">    - ÜZ st.frei (50%) 18,m 200€</t>
  </si>
  <si>
    <t>…</t>
  </si>
  <si>
    <t>Laufender Bezug: Bertl St….</t>
  </si>
  <si>
    <t xml:space="preserve">ÜST Grundlohn </t>
  </si>
  <si>
    <t xml:space="preserve">Überstundenzuschlag (ÜZ) 50 % </t>
  </si>
  <si>
    <t xml:space="preserve">Überstundenzuschlag (ÜZ)100 % </t>
  </si>
  <si>
    <t>Dienstgeberzuschlag</t>
  </si>
  <si>
    <t>Dienstgeberbeitrag zum Familienlastenausgleichsfonds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</si>
</sst>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_-;\-* #,##0_-;_-* &quot;-&quot;??_-;_-@_-"/>
    <numFmt numFmtId="166" formatCode="#,##0.00_ ;\-#,##0.00\ "/>
    <numFmt numFmtId="167" formatCode="#,##0_ ;\-#,##0\ "/>
    <numFmt numFmtId="168" formatCode="0.0%"/>
    <numFmt numFmtId="169" formatCode="_-[$€-2]\ * #,##0.00_-;\-[$€-2]\ * #,##0.00_-;_-[$€-2]\ * &quot;-&quot;??_-;_-@_-"/>
  </numFmts>
  <fonts count="2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29"/>
      <scheme val="minor"/>
    </font>
    <font>
      <sz val="10"/>
      <color theme="1"/>
      <name val="Calibri"/>
      <family val="2"/>
      <scheme val="minor"/>
    </font>
    <font>
      <sz val="10"/>
      <name val="Myriad Pro"/>
    </font>
    <font>
      <b/>
      <sz val="10"/>
      <color rgb="FFFF0000"/>
      <name val="Myriad Pro"/>
    </font>
    <font>
      <sz val="10"/>
      <name val="Arial"/>
      <family val="2"/>
    </font>
    <font>
      <sz val="10"/>
      <name val="Myriad Pro"/>
      <family val="2"/>
    </font>
    <font>
      <sz val="6"/>
      <name val="Myriad Pro"/>
      <family val="2"/>
    </font>
    <font>
      <sz val="6"/>
      <name val="Arial"/>
      <family val="2"/>
    </font>
    <font>
      <sz val="8"/>
      <name val="Myriad Pro"/>
      <family val="2"/>
    </font>
    <font>
      <b/>
      <sz val="10"/>
      <name val="Myriad Pro"/>
    </font>
    <font>
      <b/>
      <sz val="8"/>
      <name val="Myriad Pro"/>
    </font>
    <font>
      <sz val="9"/>
      <name val="Myriad Pro"/>
      <family val="2"/>
    </font>
    <font>
      <sz val="9"/>
      <name val="Arial"/>
      <family val="2"/>
    </font>
    <font>
      <sz val="9"/>
      <color theme="1"/>
      <name val="Calibri"/>
      <family val="2"/>
      <charset val="129"/>
      <scheme val="minor"/>
    </font>
    <font>
      <b/>
      <sz val="9"/>
      <name val="Myriad Pro"/>
      <family val="2"/>
    </font>
    <font>
      <sz val="9"/>
      <color rgb="FF000000"/>
      <name val="Myriad Pro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0"/>
      <name val="Myriad Pro"/>
      <family val="2"/>
    </font>
    <font>
      <b/>
      <sz val="10"/>
      <name val="Myriad Pro"/>
      <family val="2"/>
    </font>
    <font>
      <u val="singleAccounting"/>
      <sz val="10"/>
      <name val="Myriad Pro"/>
      <family val="2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8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39" fontId="6" fillId="2" borderId="1" xfId="1" applyNumberFormat="1" applyFont="1" applyFill="1" applyBorder="1"/>
    <xf numFmtId="164" fontId="8" fillId="0" borderId="0" xfId="3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39" fontId="6" fillId="3" borderId="1" xfId="1" applyNumberFormat="1" applyFont="1" applyFill="1" applyBorder="1"/>
    <xf numFmtId="37" fontId="6" fillId="3" borderId="1" xfId="1" applyNumberFormat="1" applyFont="1" applyFill="1" applyBorder="1"/>
    <xf numFmtId="37" fontId="8" fillId="0" borderId="0" xfId="3" applyNumberFormat="1" applyFont="1"/>
    <xf numFmtId="0" fontId="6" fillId="2" borderId="1" xfId="0" applyFont="1" applyFill="1" applyBorder="1"/>
    <xf numFmtId="165" fontId="8" fillId="0" borderId="0" xfId="1" applyNumberFormat="1" applyFont="1"/>
    <xf numFmtId="9" fontId="6" fillId="2" borderId="1" xfId="0" applyNumberFormat="1" applyFont="1" applyFill="1" applyBorder="1"/>
    <xf numFmtId="37" fontId="6" fillId="2" borderId="1" xfId="1" applyNumberFormat="1" applyFont="1" applyFill="1" applyBorder="1"/>
    <xf numFmtId="49" fontId="11" fillId="0" borderId="1" xfId="0" applyNumberFormat="1" applyFont="1" applyBorder="1"/>
    <xf numFmtId="37" fontId="11" fillId="4" borderId="1" xfId="0" applyNumberFormat="1" applyFont="1" applyFill="1" applyBorder="1"/>
    <xf numFmtId="164" fontId="11" fillId="0" borderId="0" xfId="3" applyFont="1"/>
    <xf numFmtId="0" fontId="12" fillId="5" borderId="2" xfId="0" applyFont="1" applyFill="1" applyBorder="1" applyAlignment="1">
      <alignment horizontal="left"/>
    </xf>
    <xf numFmtId="0" fontId="12" fillId="5" borderId="3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3" fillId="5" borderId="5" xfId="0" applyFont="1" applyFill="1" applyBorder="1" applyAlignment="1">
      <alignment horizontal="left"/>
    </xf>
    <xf numFmtId="0" fontId="13" fillId="5" borderId="6" xfId="0" applyFont="1" applyFill="1" applyBorder="1" applyAlignment="1">
      <alignment horizontal="left"/>
    </xf>
    <xf numFmtId="0" fontId="13" fillId="5" borderId="7" xfId="0" applyFont="1" applyFill="1" applyBorder="1" applyAlignment="1">
      <alignment horizontal="left"/>
    </xf>
    <xf numFmtId="0" fontId="11" fillId="0" borderId="1" xfId="0" applyFont="1" applyBorder="1"/>
    <xf numFmtId="0" fontId="11" fillId="6" borderId="1" xfId="0" applyFont="1" applyFill="1" applyBorder="1"/>
    <xf numFmtId="0" fontId="14" fillId="0" borderId="0" xfId="0" applyFont="1"/>
    <xf numFmtId="0" fontId="15" fillId="0" borderId="0" xfId="0" applyFont="1"/>
    <xf numFmtId="49" fontId="8" fillId="0" borderId="2" xfId="0" applyNumberFormat="1" applyFont="1" applyBorder="1"/>
    <xf numFmtId="49" fontId="8" fillId="0" borderId="3" xfId="0" applyNumberFormat="1" applyFont="1" applyBorder="1"/>
    <xf numFmtId="166" fontId="8" fillId="0" borderId="3" xfId="3" applyNumberFormat="1" applyFont="1" applyBorder="1"/>
    <xf numFmtId="166" fontId="8" fillId="6" borderId="4" xfId="3" applyNumberFormat="1" applyFont="1" applyFill="1" applyBorder="1"/>
    <xf numFmtId="164" fontId="8" fillId="0" borderId="0" xfId="3" applyFont="1" applyBorder="1"/>
    <xf numFmtId="164" fontId="8" fillId="0" borderId="8" xfId="3" applyFont="1" applyBorder="1"/>
    <xf numFmtId="0" fontId="11" fillId="0" borderId="0" xfId="0" applyFont="1"/>
    <xf numFmtId="0" fontId="16" fillId="0" borderId="0" xfId="0" applyFont="1"/>
    <xf numFmtId="49" fontId="8" fillId="0" borderId="0" xfId="0" applyNumberFormat="1" applyFont="1"/>
    <xf numFmtId="164" fontId="8" fillId="0" borderId="0" xfId="3" applyFont="1" applyFill="1"/>
    <xf numFmtId="166" fontId="8" fillId="0" borderId="0" xfId="3" applyNumberFormat="1" applyFont="1" applyBorder="1"/>
    <xf numFmtId="166" fontId="8" fillId="6" borderId="9" xfId="3" applyNumberFormat="1" applyFont="1" applyFill="1" applyBorder="1"/>
    <xf numFmtId="164" fontId="8" fillId="6" borderId="9" xfId="3" applyFont="1" applyFill="1" applyBorder="1"/>
    <xf numFmtId="164" fontId="11" fillId="0" borderId="1" xfId="3" applyFont="1" applyBorder="1"/>
    <xf numFmtId="167" fontId="11" fillId="6" borderId="1" xfId="3" applyNumberFormat="1" applyFont="1" applyFill="1" applyBorder="1"/>
    <xf numFmtId="49" fontId="8" fillId="0" borderId="10" xfId="0" applyNumberFormat="1" applyFont="1" applyBorder="1"/>
    <xf numFmtId="164" fontId="8" fillId="0" borderId="10" xfId="3" applyFont="1" applyFill="1" applyBorder="1"/>
    <xf numFmtId="166" fontId="8" fillId="6" borderId="10" xfId="3" applyNumberFormat="1" applyFont="1" applyFill="1" applyBorder="1"/>
    <xf numFmtId="166" fontId="12" fillId="6" borderId="9" xfId="3" applyNumberFormat="1" applyFont="1" applyFill="1" applyBorder="1"/>
    <xf numFmtId="10" fontId="8" fillId="7" borderId="0" xfId="2" applyNumberFormat="1" applyFont="1" applyFill="1" applyBorder="1"/>
    <xf numFmtId="43" fontId="8" fillId="6" borderId="9" xfId="1" applyFont="1" applyFill="1" applyBorder="1"/>
    <xf numFmtId="10" fontId="8" fillId="7" borderId="8" xfId="2" applyNumberFormat="1" applyFont="1" applyFill="1" applyBorder="1"/>
    <xf numFmtId="0" fontId="11" fillId="6" borderId="0" xfId="0" applyFont="1" applyFill="1"/>
    <xf numFmtId="49" fontId="12" fillId="0" borderId="8" xfId="0" applyNumberFormat="1" applyFont="1" applyBorder="1"/>
    <xf numFmtId="166" fontId="8" fillId="2" borderId="0" xfId="3" applyNumberFormat="1" applyFont="1" applyFill="1" applyBorder="1"/>
    <xf numFmtId="10" fontId="8" fillId="7" borderId="0" xfId="3" applyNumberFormat="1" applyFont="1" applyFill="1" applyBorder="1"/>
    <xf numFmtId="166" fontId="12" fillId="8" borderId="9" xfId="0" applyNumberFormat="1" applyFont="1" applyFill="1" applyBorder="1"/>
    <xf numFmtId="43" fontId="8" fillId="2" borderId="0" xfId="1" applyFont="1" applyFill="1" applyBorder="1"/>
    <xf numFmtId="43" fontId="8" fillId="2" borderId="8" xfId="1" applyFont="1" applyFill="1" applyBorder="1"/>
    <xf numFmtId="49" fontId="8" fillId="0" borderId="8" xfId="0" applyNumberFormat="1" applyFont="1" applyBorder="1"/>
    <xf numFmtId="166" fontId="8" fillId="2" borderId="0" xfId="3" applyNumberFormat="1" applyFont="1" applyFill="1"/>
    <xf numFmtId="164" fontId="8" fillId="0" borderId="8" xfId="3" quotePrefix="1" applyFont="1" applyBorder="1"/>
    <xf numFmtId="0" fontId="4" fillId="2" borderId="0" xfId="0" applyFont="1" applyFill="1"/>
    <xf numFmtId="0" fontId="17" fillId="5" borderId="2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8" fillId="0" borderId="8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9" fontId="14" fillId="4" borderId="9" xfId="0" applyNumberFormat="1" applyFont="1" applyFill="1" applyBorder="1" applyAlignment="1">
      <alignment wrapText="1"/>
    </xf>
    <xf numFmtId="166" fontId="8" fillId="2" borderId="10" xfId="3" applyNumberFormat="1" applyFont="1" applyFill="1" applyBorder="1"/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4" fontId="14" fillId="6" borderId="0" xfId="0" applyNumberFormat="1" applyFont="1" applyFill="1" applyAlignment="1">
      <alignment wrapText="1"/>
    </xf>
    <xf numFmtId="10" fontId="14" fillId="4" borderId="9" xfId="0" applyNumberFormat="1" applyFont="1" applyFill="1" applyBorder="1"/>
    <xf numFmtId="49" fontId="12" fillId="0" borderId="0" xfId="0" applyNumberFormat="1" applyFont="1"/>
    <xf numFmtId="166" fontId="12" fillId="2" borderId="0" xfId="3" applyNumberFormat="1" applyFont="1" applyFill="1" applyBorder="1"/>
    <xf numFmtId="4" fontId="14" fillId="6" borderId="0" xfId="0" applyNumberFormat="1" applyFont="1" applyFill="1"/>
    <xf numFmtId="10" fontId="12" fillId="9" borderId="0" xfId="3" applyNumberFormat="1" applyFont="1" applyFill="1" applyBorder="1"/>
    <xf numFmtId="0" fontId="19" fillId="0" borderId="0" xfId="0" quotePrefix="1" applyFont="1"/>
    <xf numFmtId="166" fontId="12" fillId="10" borderId="0" xfId="3" applyNumberFormat="1" applyFont="1" applyFill="1" applyBorder="1"/>
    <xf numFmtId="0" fontId="4" fillId="0" borderId="8" xfId="0" applyFont="1" applyBorder="1"/>
    <xf numFmtId="9" fontId="5" fillId="7" borderId="0" xfId="3" applyNumberFormat="1" applyFont="1" applyFill="1" applyBorder="1"/>
    <xf numFmtId="9" fontId="8" fillId="7" borderId="8" xfId="2" applyFont="1" applyFill="1" applyBorder="1"/>
    <xf numFmtId="0" fontId="8" fillId="0" borderId="8" xfId="0" applyFont="1" applyBorder="1" applyAlignment="1">
      <alignment horizontal="left"/>
    </xf>
    <xf numFmtId="0" fontId="20" fillId="0" borderId="0" xfId="0" quotePrefix="1" applyFont="1"/>
    <xf numFmtId="43" fontId="8" fillId="11" borderId="0" xfId="1" applyFont="1" applyFill="1" applyBorder="1"/>
    <xf numFmtId="0" fontId="20" fillId="0" borderId="0" xfId="0" applyFont="1"/>
    <xf numFmtId="9" fontId="8" fillId="0" borderId="8" xfId="3" applyNumberFormat="1" applyFont="1" applyBorder="1"/>
    <xf numFmtId="0" fontId="4" fillId="6" borderId="9" xfId="0" applyFont="1" applyFill="1" applyBorder="1"/>
    <xf numFmtId="43" fontId="4" fillId="6" borderId="9" xfId="1" applyFont="1" applyFill="1" applyBorder="1"/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" fontId="14" fillId="6" borderId="10" xfId="0" applyNumberFormat="1" applyFont="1" applyFill="1" applyBorder="1"/>
    <xf numFmtId="10" fontId="14" fillId="4" borderId="12" xfId="0" applyNumberFormat="1" applyFont="1" applyFill="1" applyBorder="1"/>
    <xf numFmtId="10" fontId="14" fillId="4" borderId="0" xfId="0" applyNumberFormat="1" applyFont="1" applyFill="1"/>
    <xf numFmtId="0" fontId="8" fillId="0" borderId="8" xfId="0" quotePrefix="1" applyFont="1" applyBorder="1" applyAlignment="1">
      <alignment horizontal="left"/>
    </xf>
    <xf numFmtId="166" fontId="8" fillId="0" borderId="10" xfId="3" applyNumberFormat="1" applyFont="1" applyBorder="1"/>
    <xf numFmtId="39" fontId="20" fillId="11" borderId="10" xfId="1" applyNumberFormat="1" applyFont="1" applyFill="1" applyBorder="1"/>
    <xf numFmtId="0" fontId="19" fillId="0" borderId="0" xfId="0" applyFont="1"/>
    <xf numFmtId="166" fontId="12" fillId="0" borderId="0" xfId="3" applyNumberFormat="1" applyFont="1" applyBorder="1"/>
    <xf numFmtId="43" fontId="20" fillId="6" borderId="9" xfId="1" applyFont="1" applyFill="1" applyBorder="1"/>
    <xf numFmtId="0" fontId="15" fillId="0" borderId="1" xfId="0" applyFont="1" applyBorder="1"/>
    <xf numFmtId="0" fontId="17" fillId="5" borderId="1" xfId="0" applyFont="1" applyFill="1" applyBorder="1"/>
    <xf numFmtId="166" fontId="5" fillId="6" borderId="9" xfId="3" applyNumberFormat="1" applyFont="1" applyFill="1" applyBorder="1"/>
    <xf numFmtId="0" fontId="0" fillId="6" borderId="0" xfId="0" applyFill="1"/>
    <xf numFmtId="0" fontId="0" fillId="4" borderId="0" xfId="0" applyFill="1"/>
    <xf numFmtId="0" fontId="14" fillId="6" borderId="8" xfId="0" applyFont="1" applyFill="1" applyBorder="1"/>
    <xf numFmtId="4" fontId="14" fillId="4" borderId="0" xfId="0" applyNumberFormat="1" applyFont="1" applyFill="1"/>
    <xf numFmtId="4" fontId="14" fillId="4" borderId="9" xfId="0" applyNumberFormat="1" applyFont="1" applyFill="1" applyBorder="1"/>
    <xf numFmtId="0" fontId="14" fillId="0" borderId="1" xfId="0" applyFont="1" applyBorder="1"/>
    <xf numFmtId="43" fontId="14" fillId="0" borderId="1" xfId="1" applyFont="1" applyBorder="1"/>
    <xf numFmtId="49" fontId="8" fillId="0" borderId="11" xfId="0" applyNumberFormat="1" applyFont="1" applyBorder="1"/>
    <xf numFmtId="166" fontId="8" fillId="6" borderId="12" xfId="3" applyNumberFormat="1" applyFont="1" applyFill="1" applyBorder="1"/>
    <xf numFmtId="49" fontId="12" fillId="0" borderId="11" xfId="0" applyNumberFormat="1" applyFont="1" applyBorder="1"/>
    <xf numFmtId="166" fontId="12" fillId="6" borderId="12" xfId="3" applyNumberFormat="1" applyFont="1" applyFill="1" applyBorder="1"/>
    <xf numFmtId="164" fontId="8" fillId="10" borderId="11" xfId="3" applyFont="1" applyFill="1" applyBorder="1"/>
    <xf numFmtId="164" fontId="8" fillId="0" borderId="10" xfId="3" applyFont="1" applyBorder="1"/>
    <xf numFmtId="43" fontId="8" fillId="6" borderId="12" xfId="1" applyFont="1" applyFill="1" applyBorder="1"/>
    <xf numFmtId="164" fontId="8" fillId="0" borderId="11" xfId="3" applyFont="1" applyBorder="1"/>
    <xf numFmtId="0" fontId="14" fillId="6" borderId="11" xfId="0" applyFont="1" applyFill="1" applyBorder="1"/>
    <xf numFmtId="4" fontId="14" fillId="4" borderId="10" xfId="0" applyNumberFormat="1" applyFont="1" applyFill="1" applyBorder="1"/>
    <xf numFmtId="4" fontId="14" fillId="4" borderId="12" xfId="0" applyNumberFormat="1" applyFont="1" applyFill="1" applyBorder="1"/>
    <xf numFmtId="43" fontId="14" fillId="5" borderId="1" xfId="1" applyFont="1" applyFill="1" applyBorder="1"/>
    <xf numFmtId="164" fontId="13" fillId="5" borderId="11" xfId="3" applyFont="1" applyFill="1" applyBorder="1"/>
    <xf numFmtId="164" fontId="13" fillId="5" borderId="10" xfId="3" applyFont="1" applyFill="1" applyBorder="1"/>
    <xf numFmtId="43" fontId="13" fillId="6" borderId="12" xfId="1" applyFont="1" applyFill="1" applyBorder="1"/>
    <xf numFmtId="164" fontId="11" fillId="5" borderId="0" xfId="3" applyFont="1" applyFill="1"/>
    <xf numFmtId="0" fontId="22" fillId="0" borderId="1" xfId="0" applyFont="1" applyBorder="1"/>
    <xf numFmtId="0" fontId="8" fillId="0" borderId="1" xfId="0" applyFont="1" applyBorder="1"/>
    <xf numFmtId="164" fontId="8" fillId="0" borderId="1" xfId="3" applyFont="1" applyBorder="1"/>
    <xf numFmtId="0" fontId="17" fillId="10" borderId="5" xfId="0" applyFont="1" applyFill="1" applyBorder="1" applyAlignment="1">
      <alignment horizontal="center" vertical="center" wrapText="1"/>
    </xf>
    <xf numFmtId="10" fontId="8" fillId="0" borderId="1" xfId="0" applyNumberFormat="1" applyFont="1" applyBorder="1"/>
    <xf numFmtId="164" fontId="8" fillId="10" borderId="1" xfId="3" applyFont="1" applyFill="1" applyBorder="1"/>
    <xf numFmtId="0" fontId="17" fillId="7" borderId="1" xfId="0" applyFont="1" applyFill="1" applyBorder="1" applyAlignment="1">
      <alignment horizontal="center"/>
    </xf>
    <xf numFmtId="0" fontId="17" fillId="10" borderId="1" xfId="0" applyFont="1" applyFill="1" applyBorder="1" applyAlignment="1">
      <alignment horizontal="center"/>
    </xf>
    <xf numFmtId="0" fontId="17" fillId="14" borderId="1" xfId="0" applyFont="1" applyFill="1" applyBorder="1" applyAlignment="1">
      <alignment horizontal="center"/>
    </xf>
    <xf numFmtId="9" fontId="8" fillId="0" borderId="0" xfId="2" applyFont="1"/>
    <xf numFmtId="4" fontId="14" fillId="7" borderId="1" xfId="0" applyNumberFormat="1" applyFont="1" applyFill="1" applyBorder="1"/>
    <xf numFmtId="4" fontId="14" fillId="7" borderId="1" xfId="0" applyNumberFormat="1" applyFont="1" applyFill="1" applyBorder="1" applyAlignment="1">
      <alignment horizontal="right"/>
    </xf>
    <xf numFmtId="43" fontId="14" fillId="7" borderId="1" xfId="1" applyFont="1" applyFill="1" applyBorder="1" applyAlignment="1">
      <alignment horizontal="center"/>
    </xf>
    <xf numFmtId="168" fontId="14" fillId="13" borderId="1" xfId="0" applyNumberFormat="1" applyFont="1" applyFill="1" applyBorder="1"/>
    <xf numFmtId="2" fontId="14" fillId="10" borderId="1" xfId="0" applyNumberFormat="1" applyFont="1" applyFill="1" applyBorder="1" applyAlignment="1">
      <alignment horizontal="right"/>
    </xf>
    <xf numFmtId="2" fontId="14" fillId="14" borderId="1" xfId="0" applyNumberFormat="1" applyFont="1" applyFill="1" applyBorder="1" applyAlignment="1">
      <alignment horizontal="right"/>
    </xf>
    <xf numFmtId="9" fontId="8" fillId="0" borderId="1" xfId="0" applyNumberFormat="1" applyFont="1" applyBorder="1"/>
    <xf numFmtId="2" fontId="14" fillId="10" borderId="1" xfId="0" applyNumberFormat="1" applyFont="1" applyFill="1" applyBorder="1"/>
    <xf numFmtId="2" fontId="14" fillId="14" borderId="1" xfId="0" applyNumberFormat="1" applyFont="1" applyFill="1" applyBorder="1"/>
    <xf numFmtId="169" fontId="8" fillId="0" borderId="1" xfId="0" applyNumberFormat="1" applyFont="1" applyBorder="1"/>
    <xf numFmtId="165" fontId="8" fillId="0" borderId="1" xfId="1" applyNumberFormat="1" applyFont="1" applyBorder="1"/>
    <xf numFmtId="10" fontId="4" fillId="0" borderId="1" xfId="0" applyNumberFormat="1" applyFont="1" applyBorder="1"/>
    <xf numFmtId="4" fontId="14" fillId="7" borderId="5" xfId="0" applyNumberFormat="1" applyFont="1" applyFill="1" applyBorder="1" applyAlignment="1">
      <alignment horizontal="center"/>
    </xf>
    <xf numFmtId="0" fontId="2" fillId="0" borderId="0" xfId="0" applyFont="1"/>
    <xf numFmtId="164" fontId="12" fillId="0" borderId="0" xfId="3" applyFont="1"/>
    <xf numFmtId="0" fontId="4" fillId="13" borderId="0" xfId="0" applyFont="1" applyFill="1"/>
    <xf numFmtId="166" fontId="4" fillId="13" borderId="0" xfId="0" applyNumberFormat="1" applyFont="1" applyFill="1"/>
    <xf numFmtId="164" fontId="8" fillId="13" borderId="0" xfId="3" applyFont="1" applyFill="1"/>
    <xf numFmtId="164" fontId="4" fillId="13" borderId="0" xfId="0" applyNumberFormat="1" applyFont="1" applyFill="1"/>
    <xf numFmtId="44" fontId="4" fillId="13" borderId="0" xfId="0" applyNumberFormat="1" applyFont="1" applyFill="1"/>
    <xf numFmtId="9" fontId="14" fillId="0" borderId="9" xfId="0" applyNumberFormat="1" applyFont="1" applyBorder="1" applyAlignment="1">
      <alignment wrapText="1"/>
    </xf>
    <xf numFmtId="4" fontId="14" fillId="14" borderId="0" xfId="0" applyNumberFormat="1" applyFont="1" applyFill="1" applyAlignment="1">
      <alignment wrapText="1"/>
    </xf>
    <xf numFmtId="4" fontId="14" fillId="0" borderId="0" xfId="0" applyNumberFormat="1" applyFont="1"/>
    <xf numFmtId="10" fontId="14" fillId="0" borderId="9" xfId="0" applyNumberFormat="1" applyFont="1" applyBorder="1"/>
    <xf numFmtId="4" fontId="14" fillId="0" borderId="10" xfId="0" applyNumberFormat="1" applyFont="1" applyBorder="1"/>
    <xf numFmtId="10" fontId="14" fillId="0" borderId="12" xfId="0" applyNumberFormat="1" applyFont="1" applyBorder="1"/>
    <xf numFmtId="43" fontId="12" fillId="2" borderId="0" xfId="1" applyFont="1" applyFill="1" applyBorder="1"/>
    <xf numFmtId="43" fontId="23" fillId="2" borderId="10" xfId="1" applyFont="1" applyFill="1" applyBorder="1"/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18" fillId="0" borderId="8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  <xf numFmtId="0" fontId="21" fillId="12" borderId="5" xfId="0" applyFont="1" applyFill="1" applyBorder="1" applyAlignment="1">
      <alignment horizontal="center"/>
    </xf>
    <xf numFmtId="0" fontId="21" fillId="12" borderId="6" xfId="0" applyFont="1" applyFill="1" applyBorder="1" applyAlignment="1">
      <alignment horizontal="center"/>
    </xf>
    <xf numFmtId="0" fontId="21" fillId="12" borderId="7" xfId="0" applyFont="1" applyFill="1" applyBorder="1" applyAlignment="1">
      <alignment horizontal="center"/>
    </xf>
    <xf numFmtId="0" fontId="17" fillId="7" borderId="5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17" fillId="13" borderId="14" xfId="0" applyFont="1" applyFill="1" applyBorder="1" applyAlignment="1">
      <alignment horizontal="center" vertical="center"/>
    </xf>
    <xf numFmtId="0" fontId="17" fillId="14" borderId="5" xfId="0" applyFont="1" applyFill="1" applyBorder="1" applyAlignment="1">
      <alignment horizontal="center" vertical="center"/>
    </xf>
    <xf numFmtId="0" fontId="17" fillId="14" borderId="6" xfId="0" applyFont="1" applyFill="1" applyBorder="1" applyAlignment="1">
      <alignment horizontal="center" vertical="center"/>
    </xf>
    <xf numFmtId="0" fontId="17" fillId="14" borderId="7" xfId="0" applyFont="1" applyFill="1" applyBorder="1" applyAlignment="1">
      <alignment horizontal="center" vertical="center"/>
    </xf>
  </cellXfs>
  <cellStyles count="4">
    <cellStyle name="Euro" xfId="3" xr:uid="{6DC32328-7CFA-A848-B556-D2F2850500AF}"/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20</xdr:row>
      <xdr:rowOff>161925</xdr:rowOff>
    </xdr:from>
    <xdr:ext cx="191042" cy="255145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34B431C2-452C-5849-91D9-C1B19F0D2730}"/>
            </a:ext>
          </a:extLst>
        </xdr:cNvPr>
        <xdr:cNvSpPr txBox="1"/>
      </xdr:nvSpPr>
      <xdr:spPr>
        <a:xfrm>
          <a:off x="1355725" y="4225925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20</xdr:row>
      <xdr:rowOff>161925</xdr:rowOff>
    </xdr:from>
    <xdr:ext cx="191042" cy="255145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180617BD-B1AA-5E46-B36A-4D1C7C6EA35A}"/>
            </a:ext>
          </a:extLst>
        </xdr:cNvPr>
        <xdr:cNvSpPr txBox="1"/>
      </xdr:nvSpPr>
      <xdr:spPr>
        <a:xfrm>
          <a:off x="1355725" y="4225925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D9B67E4A-A6BB-3F43-9EF3-88F89BC4DC7C}"/>
            </a:ext>
          </a:extLst>
        </xdr:cNvPr>
        <xdr:cNvSpPr txBox="1"/>
      </xdr:nvSpPr>
      <xdr:spPr>
        <a:xfrm>
          <a:off x="13557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8D5C79B3-C46A-1E48-AD5E-017BD1FD3A62}"/>
            </a:ext>
          </a:extLst>
        </xdr:cNvPr>
        <xdr:cNvSpPr txBox="1"/>
      </xdr:nvSpPr>
      <xdr:spPr>
        <a:xfrm>
          <a:off x="13557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B59B0FD4-00B6-CB46-B384-40076255A64B}"/>
            </a:ext>
          </a:extLst>
        </xdr:cNvPr>
        <xdr:cNvSpPr txBox="1"/>
      </xdr:nvSpPr>
      <xdr:spPr>
        <a:xfrm>
          <a:off x="13557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25BFEB06-6B2C-7A4B-8E98-DEA34D4292FD}"/>
            </a:ext>
          </a:extLst>
        </xdr:cNvPr>
        <xdr:cNvSpPr txBox="1"/>
      </xdr:nvSpPr>
      <xdr:spPr>
        <a:xfrm>
          <a:off x="13557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2F2B95E-5697-CF41-AB89-AEA43FF5E14A}"/>
            </a:ext>
          </a:extLst>
        </xdr:cNvPr>
        <xdr:cNvSpPr txBox="1"/>
      </xdr:nvSpPr>
      <xdr:spPr>
        <a:xfrm>
          <a:off x="13557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BFD4AA15-4E85-904C-9ED6-C222FA44A668}"/>
            </a:ext>
          </a:extLst>
        </xdr:cNvPr>
        <xdr:cNvSpPr txBox="1"/>
      </xdr:nvSpPr>
      <xdr:spPr>
        <a:xfrm>
          <a:off x="13557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1EC0330F-167B-6B4E-99A7-87B61560C4EC}"/>
            </a:ext>
          </a:extLst>
        </xdr:cNvPr>
        <xdr:cNvSpPr txBox="1"/>
      </xdr:nvSpPr>
      <xdr:spPr>
        <a:xfrm>
          <a:off x="13557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92856693-912A-F448-8139-3871C597ADC8}"/>
            </a:ext>
          </a:extLst>
        </xdr:cNvPr>
        <xdr:cNvSpPr txBox="1"/>
      </xdr:nvSpPr>
      <xdr:spPr>
        <a:xfrm>
          <a:off x="13557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8B137B2D-CBE2-C84B-97B5-52D21C98A8F6}"/>
            </a:ext>
          </a:extLst>
        </xdr:cNvPr>
        <xdr:cNvSpPr txBox="1"/>
      </xdr:nvSpPr>
      <xdr:spPr>
        <a:xfrm>
          <a:off x="13557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A4309B41-24FA-6F4D-AD5C-EE4A9F57FBBE}"/>
            </a:ext>
          </a:extLst>
        </xdr:cNvPr>
        <xdr:cNvSpPr txBox="1"/>
      </xdr:nvSpPr>
      <xdr:spPr>
        <a:xfrm>
          <a:off x="13557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EB7E9F39-A386-0C45-BAD0-1A3A40D19BC8}"/>
            </a:ext>
          </a:extLst>
        </xdr:cNvPr>
        <xdr:cNvSpPr txBox="1"/>
      </xdr:nvSpPr>
      <xdr:spPr>
        <a:xfrm>
          <a:off x="13557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8AD4DA5E-1310-8942-BDCA-E5153F404928}"/>
            </a:ext>
          </a:extLst>
        </xdr:cNvPr>
        <xdr:cNvSpPr txBox="1"/>
      </xdr:nvSpPr>
      <xdr:spPr>
        <a:xfrm>
          <a:off x="13557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BF94450E-5458-614A-9E77-6C982D81B3E2}"/>
            </a:ext>
          </a:extLst>
        </xdr:cNvPr>
        <xdr:cNvSpPr txBox="1"/>
      </xdr:nvSpPr>
      <xdr:spPr>
        <a:xfrm>
          <a:off x="13557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17" name="Textfeld 16">
          <a:extLst>
            <a:ext uri="{FF2B5EF4-FFF2-40B4-BE49-F238E27FC236}">
              <a16:creationId xmlns:a16="http://schemas.microsoft.com/office/drawing/2014/main" id="{ED68DB95-81B2-5F45-9230-E8A10A00C030}"/>
            </a:ext>
          </a:extLst>
        </xdr:cNvPr>
        <xdr:cNvSpPr txBox="1"/>
      </xdr:nvSpPr>
      <xdr:spPr>
        <a:xfrm>
          <a:off x="13557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18" name="Textfeld 17">
          <a:extLst>
            <a:ext uri="{FF2B5EF4-FFF2-40B4-BE49-F238E27FC236}">
              <a16:creationId xmlns:a16="http://schemas.microsoft.com/office/drawing/2014/main" id="{07ABFEB5-02BF-2243-BC46-CD5F068EB636}"/>
            </a:ext>
          </a:extLst>
        </xdr:cNvPr>
        <xdr:cNvSpPr txBox="1"/>
      </xdr:nvSpPr>
      <xdr:spPr>
        <a:xfrm>
          <a:off x="13557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C8BB155D-D2F6-8E48-A897-395CF3C01737}"/>
            </a:ext>
          </a:extLst>
        </xdr:cNvPr>
        <xdr:cNvSpPr txBox="1"/>
      </xdr:nvSpPr>
      <xdr:spPr>
        <a:xfrm>
          <a:off x="13557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2DB946E5-E4EC-024F-AE13-7A97405A2D39}"/>
            </a:ext>
          </a:extLst>
        </xdr:cNvPr>
        <xdr:cNvSpPr txBox="1"/>
      </xdr:nvSpPr>
      <xdr:spPr>
        <a:xfrm>
          <a:off x="13557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21" name="Textfeld 20">
          <a:extLst>
            <a:ext uri="{FF2B5EF4-FFF2-40B4-BE49-F238E27FC236}">
              <a16:creationId xmlns:a16="http://schemas.microsoft.com/office/drawing/2014/main" id="{69F8BE2E-0057-144E-AC6F-7C67C19A130F}"/>
            </a:ext>
          </a:extLst>
        </xdr:cNvPr>
        <xdr:cNvSpPr txBox="1"/>
      </xdr:nvSpPr>
      <xdr:spPr>
        <a:xfrm>
          <a:off x="13557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22" name="Textfeld 21">
          <a:extLst>
            <a:ext uri="{FF2B5EF4-FFF2-40B4-BE49-F238E27FC236}">
              <a16:creationId xmlns:a16="http://schemas.microsoft.com/office/drawing/2014/main" id="{257FF59B-C951-FD43-A630-140CE0C07EE3}"/>
            </a:ext>
          </a:extLst>
        </xdr:cNvPr>
        <xdr:cNvSpPr txBox="1"/>
      </xdr:nvSpPr>
      <xdr:spPr>
        <a:xfrm>
          <a:off x="13557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23" name="Textfeld 22">
          <a:extLst>
            <a:ext uri="{FF2B5EF4-FFF2-40B4-BE49-F238E27FC236}">
              <a16:creationId xmlns:a16="http://schemas.microsoft.com/office/drawing/2014/main" id="{1FBAFEF5-197F-2441-BE83-07C3BBB0F8CB}"/>
            </a:ext>
          </a:extLst>
        </xdr:cNvPr>
        <xdr:cNvSpPr txBox="1"/>
      </xdr:nvSpPr>
      <xdr:spPr>
        <a:xfrm>
          <a:off x="13557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24" name="Textfeld 23">
          <a:extLst>
            <a:ext uri="{FF2B5EF4-FFF2-40B4-BE49-F238E27FC236}">
              <a16:creationId xmlns:a16="http://schemas.microsoft.com/office/drawing/2014/main" id="{9E597AE2-6A82-A64A-BF13-28827AD98A03}"/>
            </a:ext>
          </a:extLst>
        </xdr:cNvPr>
        <xdr:cNvSpPr txBox="1"/>
      </xdr:nvSpPr>
      <xdr:spPr>
        <a:xfrm>
          <a:off x="13557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25" name="Textfeld 24">
          <a:extLst>
            <a:ext uri="{FF2B5EF4-FFF2-40B4-BE49-F238E27FC236}">
              <a16:creationId xmlns:a16="http://schemas.microsoft.com/office/drawing/2014/main" id="{2DC31340-78B9-DA4C-B5B7-34E43B230CCD}"/>
            </a:ext>
          </a:extLst>
        </xdr:cNvPr>
        <xdr:cNvSpPr txBox="1"/>
      </xdr:nvSpPr>
      <xdr:spPr>
        <a:xfrm>
          <a:off x="13557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26" name="Textfeld 25">
          <a:extLst>
            <a:ext uri="{FF2B5EF4-FFF2-40B4-BE49-F238E27FC236}">
              <a16:creationId xmlns:a16="http://schemas.microsoft.com/office/drawing/2014/main" id="{BBCF24D0-7A23-C64B-88EA-5A435DD56901}"/>
            </a:ext>
          </a:extLst>
        </xdr:cNvPr>
        <xdr:cNvSpPr txBox="1"/>
      </xdr:nvSpPr>
      <xdr:spPr>
        <a:xfrm>
          <a:off x="13557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20</xdr:row>
      <xdr:rowOff>161925</xdr:rowOff>
    </xdr:from>
    <xdr:ext cx="191042" cy="255145"/>
    <xdr:sp macro="" textlink="">
      <xdr:nvSpPr>
        <xdr:cNvPr id="27" name="Textfeld 26">
          <a:extLst>
            <a:ext uri="{FF2B5EF4-FFF2-40B4-BE49-F238E27FC236}">
              <a16:creationId xmlns:a16="http://schemas.microsoft.com/office/drawing/2014/main" id="{EE9F3288-BC91-CC44-83DE-AB56CD8EC3CC}"/>
            </a:ext>
          </a:extLst>
        </xdr:cNvPr>
        <xdr:cNvSpPr txBox="1"/>
      </xdr:nvSpPr>
      <xdr:spPr>
        <a:xfrm>
          <a:off x="1355725" y="4225925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20</xdr:row>
      <xdr:rowOff>161925</xdr:rowOff>
    </xdr:from>
    <xdr:ext cx="191042" cy="255145"/>
    <xdr:sp macro="" textlink="">
      <xdr:nvSpPr>
        <xdr:cNvPr id="28" name="Textfeld 27">
          <a:extLst>
            <a:ext uri="{FF2B5EF4-FFF2-40B4-BE49-F238E27FC236}">
              <a16:creationId xmlns:a16="http://schemas.microsoft.com/office/drawing/2014/main" id="{29EA28E3-6E25-3D43-99EE-55AD18E7B027}"/>
            </a:ext>
          </a:extLst>
        </xdr:cNvPr>
        <xdr:cNvSpPr txBox="1"/>
      </xdr:nvSpPr>
      <xdr:spPr>
        <a:xfrm>
          <a:off x="1355725" y="4225925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0ABC0981-867C-474E-9776-067AC1F6586F}"/>
            </a:ext>
          </a:extLst>
        </xdr:cNvPr>
        <xdr:cNvSpPr txBox="1"/>
      </xdr:nvSpPr>
      <xdr:spPr>
        <a:xfrm>
          <a:off x="13557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C69C073C-1054-0C44-82F2-DB56352670C6}"/>
            </a:ext>
          </a:extLst>
        </xdr:cNvPr>
        <xdr:cNvSpPr txBox="1"/>
      </xdr:nvSpPr>
      <xdr:spPr>
        <a:xfrm>
          <a:off x="13557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32" name="Textfeld 31">
          <a:extLst>
            <a:ext uri="{FF2B5EF4-FFF2-40B4-BE49-F238E27FC236}">
              <a16:creationId xmlns:a16="http://schemas.microsoft.com/office/drawing/2014/main" id="{370F60E1-167A-8444-AC46-51293D6B931B}"/>
            </a:ext>
          </a:extLst>
        </xdr:cNvPr>
        <xdr:cNvSpPr txBox="1"/>
      </xdr:nvSpPr>
      <xdr:spPr>
        <a:xfrm>
          <a:off x="13557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33" name="Textfeld 32">
          <a:extLst>
            <a:ext uri="{FF2B5EF4-FFF2-40B4-BE49-F238E27FC236}">
              <a16:creationId xmlns:a16="http://schemas.microsoft.com/office/drawing/2014/main" id="{DA283EDD-CE07-C54F-92C2-DBE6BE9FA299}"/>
            </a:ext>
          </a:extLst>
        </xdr:cNvPr>
        <xdr:cNvSpPr txBox="1"/>
      </xdr:nvSpPr>
      <xdr:spPr>
        <a:xfrm>
          <a:off x="13557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34" name="Textfeld 33">
          <a:extLst>
            <a:ext uri="{FF2B5EF4-FFF2-40B4-BE49-F238E27FC236}">
              <a16:creationId xmlns:a16="http://schemas.microsoft.com/office/drawing/2014/main" id="{954D7FD8-720A-EF47-80C3-AA93E7634561}"/>
            </a:ext>
          </a:extLst>
        </xdr:cNvPr>
        <xdr:cNvSpPr txBox="1"/>
      </xdr:nvSpPr>
      <xdr:spPr>
        <a:xfrm>
          <a:off x="13557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35" name="Textfeld 34">
          <a:extLst>
            <a:ext uri="{FF2B5EF4-FFF2-40B4-BE49-F238E27FC236}">
              <a16:creationId xmlns:a16="http://schemas.microsoft.com/office/drawing/2014/main" id="{CFE0F82D-99D5-4D42-8BD6-C9FA6D5A2124}"/>
            </a:ext>
          </a:extLst>
        </xdr:cNvPr>
        <xdr:cNvSpPr txBox="1"/>
      </xdr:nvSpPr>
      <xdr:spPr>
        <a:xfrm>
          <a:off x="13557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36" name="Textfeld 35">
          <a:extLst>
            <a:ext uri="{FF2B5EF4-FFF2-40B4-BE49-F238E27FC236}">
              <a16:creationId xmlns:a16="http://schemas.microsoft.com/office/drawing/2014/main" id="{6395F728-2160-9C4A-A529-52C477657984}"/>
            </a:ext>
          </a:extLst>
        </xdr:cNvPr>
        <xdr:cNvSpPr txBox="1"/>
      </xdr:nvSpPr>
      <xdr:spPr>
        <a:xfrm>
          <a:off x="13557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37" name="Textfeld 36">
          <a:extLst>
            <a:ext uri="{FF2B5EF4-FFF2-40B4-BE49-F238E27FC236}">
              <a16:creationId xmlns:a16="http://schemas.microsoft.com/office/drawing/2014/main" id="{3B807B01-C977-CE42-8D0A-5A9D90AC8816}"/>
            </a:ext>
          </a:extLst>
        </xdr:cNvPr>
        <xdr:cNvSpPr txBox="1"/>
      </xdr:nvSpPr>
      <xdr:spPr>
        <a:xfrm>
          <a:off x="13557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38" name="Textfeld 37">
          <a:extLst>
            <a:ext uri="{FF2B5EF4-FFF2-40B4-BE49-F238E27FC236}">
              <a16:creationId xmlns:a16="http://schemas.microsoft.com/office/drawing/2014/main" id="{BCEE58D7-5CF0-8946-BD0D-FB27860EDF87}"/>
            </a:ext>
          </a:extLst>
        </xdr:cNvPr>
        <xdr:cNvSpPr txBox="1"/>
      </xdr:nvSpPr>
      <xdr:spPr>
        <a:xfrm>
          <a:off x="13557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39" name="Textfeld 38">
          <a:extLst>
            <a:ext uri="{FF2B5EF4-FFF2-40B4-BE49-F238E27FC236}">
              <a16:creationId xmlns:a16="http://schemas.microsoft.com/office/drawing/2014/main" id="{DCA58257-3FF5-B34C-BB8A-06B38E6B5DBF}"/>
            </a:ext>
          </a:extLst>
        </xdr:cNvPr>
        <xdr:cNvSpPr txBox="1"/>
      </xdr:nvSpPr>
      <xdr:spPr>
        <a:xfrm>
          <a:off x="13557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40" name="Textfeld 39">
          <a:extLst>
            <a:ext uri="{FF2B5EF4-FFF2-40B4-BE49-F238E27FC236}">
              <a16:creationId xmlns:a16="http://schemas.microsoft.com/office/drawing/2014/main" id="{2D05C33F-5A42-874C-A6D7-201EC3811885}"/>
            </a:ext>
          </a:extLst>
        </xdr:cNvPr>
        <xdr:cNvSpPr txBox="1"/>
      </xdr:nvSpPr>
      <xdr:spPr>
        <a:xfrm>
          <a:off x="13557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41" name="Textfeld 40">
          <a:extLst>
            <a:ext uri="{FF2B5EF4-FFF2-40B4-BE49-F238E27FC236}">
              <a16:creationId xmlns:a16="http://schemas.microsoft.com/office/drawing/2014/main" id="{C6F939BA-B227-B84B-9348-CFD07E1B6456}"/>
            </a:ext>
          </a:extLst>
        </xdr:cNvPr>
        <xdr:cNvSpPr txBox="1"/>
      </xdr:nvSpPr>
      <xdr:spPr>
        <a:xfrm>
          <a:off x="13557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42" name="Textfeld 41">
          <a:extLst>
            <a:ext uri="{FF2B5EF4-FFF2-40B4-BE49-F238E27FC236}">
              <a16:creationId xmlns:a16="http://schemas.microsoft.com/office/drawing/2014/main" id="{7F119FDA-FE1C-1646-A2D6-33F83AECB26C}"/>
            </a:ext>
          </a:extLst>
        </xdr:cNvPr>
        <xdr:cNvSpPr txBox="1"/>
      </xdr:nvSpPr>
      <xdr:spPr>
        <a:xfrm>
          <a:off x="13557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43" name="Textfeld 42">
          <a:extLst>
            <a:ext uri="{FF2B5EF4-FFF2-40B4-BE49-F238E27FC236}">
              <a16:creationId xmlns:a16="http://schemas.microsoft.com/office/drawing/2014/main" id="{F95CF430-16DD-C647-A588-5C2D4F12FD60}"/>
            </a:ext>
          </a:extLst>
        </xdr:cNvPr>
        <xdr:cNvSpPr txBox="1"/>
      </xdr:nvSpPr>
      <xdr:spPr>
        <a:xfrm>
          <a:off x="13557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44" name="Textfeld 43">
          <a:extLst>
            <a:ext uri="{FF2B5EF4-FFF2-40B4-BE49-F238E27FC236}">
              <a16:creationId xmlns:a16="http://schemas.microsoft.com/office/drawing/2014/main" id="{A1150497-6870-BA44-8E01-2489B14CAFE9}"/>
            </a:ext>
          </a:extLst>
        </xdr:cNvPr>
        <xdr:cNvSpPr txBox="1"/>
      </xdr:nvSpPr>
      <xdr:spPr>
        <a:xfrm>
          <a:off x="13557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45" name="Textfeld 44">
          <a:extLst>
            <a:ext uri="{FF2B5EF4-FFF2-40B4-BE49-F238E27FC236}">
              <a16:creationId xmlns:a16="http://schemas.microsoft.com/office/drawing/2014/main" id="{1409E9D0-092F-6240-ACD1-3F969E4F37C2}"/>
            </a:ext>
          </a:extLst>
        </xdr:cNvPr>
        <xdr:cNvSpPr txBox="1"/>
      </xdr:nvSpPr>
      <xdr:spPr>
        <a:xfrm>
          <a:off x="13557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46" name="Textfeld 45">
          <a:extLst>
            <a:ext uri="{FF2B5EF4-FFF2-40B4-BE49-F238E27FC236}">
              <a16:creationId xmlns:a16="http://schemas.microsoft.com/office/drawing/2014/main" id="{6AA184F9-3D68-4049-A38A-B11A63D77703}"/>
            </a:ext>
          </a:extLst>
        </xdr:cNvPr>
        <xdr:cNvSpPr txBox="1"/>
      </xdr:nvSpPr>
      <xdr:spPr>
        <a:xfrm>
          <a:off x="13557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47" name="Textfeld 46">
          <a:extLst>
            <a:ext uri="{FF2B5EF4-FFF2-40B4-BE49-F238E27FC236}">
              <a16:creationId xmlns:a16="http://schemas.microsoft.com/office/drawing/2014/main" id="{62C4EE67-676C-DC46-B4E5-CE510582E46C}"/>
            </a:ext>
          </a:extLst>
        </xdr:cNvPr>
        <xdr:cNvSpPr txBox="1"/>
      </xdr:nvSpPr>
      <xdr:spPr>
        <a:xfrm>
          <a:off x="13557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48" name="Textfeld 47">
          <a:extLst>
            <a:ext uri="{FF2B5EF4-FFF2-40B4-BE49-F238E27FC236}">
              <a16:creationId xmlns:a16="http://schemas.microsoft.com/office/drawing/2014/main" id="{303457DE-09FF-2740-8561-41595EA327B1}"/>
            </a:ext>
          </a:extLst>
        </xdr:cNvPr>
        <xdr:cNvSpPr txBox="1"/>
      </xdr:nvSpPr>
      <xdr:spPr>
        <a:xfrm>
          <a:off x="13557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49" name="Textfeld 48">
          <a:extLst>
            <a:ext uri="{FF2B5EF4-FFF2-40B4-BE49-F238E27FC236}">
              <a16:creationId xmlns:a16="http://schemas.microsoft.com/office/drawing/2014/main" id="{192C8990-2529-374C-8685-D3605D894196}"/>
            </a:ext>
          </a:extLst>
        </xdr:cNvPr>
        <xdr:cNvSpPr txBox="1"/>
      </xdr:nvSpPr>
      <xdr:spPr>
        <a:xfrm>
          <a:off x="13557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50" name="Textfeld 49">
          <a:extLst>
            <a:ext uri="{FF2B5EF4-FFF2-40B4-BE49-F238E27FC236}">
              <a16:creationId xmlns:a16="http://schemas.microsoft.com/office/drawing/2014/main" id="{DB111CEF-EDCC-EE4C-AF40-08701B467AC0}"/>
            </a:ext>
          </a:extLst>
        </xdr:cNvPr>
        <xdr:cNvSpPr txBox="1"/>
      </xdr:nvSpPr>
      <xdr:spPr>
        <a:xfrm>
          <a:off x="13557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51" name="Textfeld 50">
          <a:extLst>
            <a:ext uri="{FF2B5EF4-FFF2-40B4-BE49-F238E27FC236}">
              <a16:creationId xmlns:a16="http://schemas.microsoft.com/office/drawing/2014/main" id="{73A56FD5-3667-4B46-B07C-F26E001000FD}"/>
            </a:ext>
          </a:extLst>
        </xdr:cNvPr>
        <xdr:cNvSpPr txBox="1"/>
      </xdr:nvSpPr>
      <xdr:spPr>
        <a:xfrm>
          <a:off x="13557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52" name="Textfeld 51">
          <a:extLst>
            <a:ext uri="{FF2B5EF4-FFF2-40B4-BE49-F238E27FC236}">
              <a16:creationId xmlns:a16="http://schemas.microsoft.com/office/drawing/2014/main" id="{61DE10B9-C512-C045-A7AC-BC2E0AFD3191}"/>
            </a:ext>
          </a:extLst>
        </xdr:cNvPr>
        <xdr:cNvSpPr txBox="1"/>
      </xdr:nvSpPr>
      <xdr:spPr>
        <a:xfrm>
          <a:off x="13557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twoCellAnchor editAs="oneCell">
    <xdr:from>
      <xdr:col>25</xdr:col>
      <xdr:colOff>558800</xdr:colOff>
      <xdr:row>47</xdr:row>
      <xdr:rowOff>162202</xdr:rowOff>
    </xdr:from>
    <xdr:to>
      <xdr:col>34</xdr:col>
      <xdr:colOff>482600</xdr:colOff>
      <xdr:row>57</xdr:row>
      <xdr:rowOff>76199</xdr:rowOff>
    </xdr:to>
    <xdr:pic>
      <xdr:nvPicPr>
        <xdr:cNvPr id="53" name="Grafik 52">
          <a:extLst>
            <a:ext uri="{FF2B5EF4-FFF2-40B4-BE49-F238E27FC236}">
              <a16:creationId xmlns:a16="http://schemas.microsoft.com/office/drawing/2014/main" id="{DDFBE014-CC32-6E4B-2BA1-452A560A1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09200" y="9839602"/>
          <a:ext cx="7353300" cy="1945997"/>
        </a:xfrm>
        <a:prstGeom prst="rect">
          <a:avLst/>
        </a:prstGeom>
      </xdr:spPr>
    </xdr:pic>
    <xdr:clientData/>
  </xdr:twoCellAnchor>
  <xdr:twoCellAnchor editAs="oneCell">
    <xdr:from>
      <xdr:col>20</xdr:col>
      <xdr:colOff>482600</xdr:colOff>
      <xdr:row>57</xdr:row>
      <xdr:rowOff>127000</xdr:rowOff>
    </xdr:from>
    <xdr:to>
      <xdr:col>29</xdr:col>
      <xdr:colOff>406400</xdr:colOff>
      <xdr:row>66</xdr:row>
      <xdr:rowOff>87659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7D83954B-DE50-441C-0B5A-1CAC8391B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605500" y="11836400"/>
          <a:ext cx="7353300" cy="17894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20</xdr:row>
      <xdr:rowOff>161925</xdr:rowOff>
    </xdr:from>
    <xdr:ext cx="191042" cy="255145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ABBFC744-9B45-A949-89AC-E7E0C9C4C61F}"/>
            </a:ext>
          </a:extLst>
        </xdr:cNvPr>
        <xdr:cNvSpPr txBox="1"/>
      </xdr:nvSpPr>
      <xdr:spPr>
        <a:xfrm>
          <a:off x="1139825" y="4225925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20</xdr:row>
      <xdr:rowOff>161925</xdr:rowOff>
    </xdr:from>
    <xdr:ext cx="191042" cy="255145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BB83D58-0FB4-594A-A5BC-2689B9D730F3}"/>
            </a:ext>
          </a:extLst>
        </xdr:cNvPr>
        <xdr:cNvSpPr txBox="1"/>
      </xdr:nvSpPr>
      <xdr:spPr>
        <a:xfrm>
          <a:off x="1139825" y="4225925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46D673BE-E766-EB49-8EA4-F80DAB91CBEA}"/>
            </a:ext>
          </a:extLst>
        </xdr:cNvPr>
        <xdr:cNvSpPr txBox="1"/>
      </xdr:nvSpPr>
      <xdr:spPr>
        <a:xfrm>
          <a:off x="1139825" y="12344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15BAA6D9-477D-1F46-9AF1-338ACE0457A2}"/>
            </a:ext>
          </a:extLst>
        </xdr:cNvPr>
        <xdr:cNvSpPr txBox="1"/>
      </xdr:nvSpPr>
      <xdr:spPr>
        <a:xfrm>
          <a:off x="1139825" y="12344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C124987A-AA94-1E40-96DA-38DE190F9A94}"/>
            </a:ext>
          </a:extLst>
        </xdr:cNvPr>
        <xdr:cNvSpPr txBox="1"/>
      </xdr:nvSpPr>
      <xdr:spPr>
        <a:xfrm>
          <a:off x="1139825" y="12344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ADBB0534-16E7-2847-AD60-55013AA12A13}"/>
            </a:ext>
          </a:extLst>
        </xdr:cNvPr>
        <xdr:cNvSpPr txBox="1"/>
      </xdr:nvSpPr>
      <xdr:spPr>
        <a:xfrm>
          <a:off x="1139825" y="12344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F406C424-7497-984F-A8A9-831B63CB7611}"/>
            </a:ext>
          </a:extLst>
        </xdr:cNvPr>
        <xdr:cNvSpPr txBox="1"/>
      </xdr:nvSpPr>
      <xdr:spPr>
        <a:xfrm>
          <a:off x="1139825" y="141732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7A401267-0415-AC45-B998-DFACDCA61C9C}"/>
            </a:ext>
          </a:extLst>
        </xdr:cNvPr>
        <xdr:cNvSpPr txBox="1"/>
      </xdr:nvSpPr>
      <xdr:spPr>
        <a:xfrm>
          <a:off x="1139825" y="141732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6C7189B4-0E6D-DA4D-B680-FAC89BD29EFE}"/>
            </a:ext>
          </a:extLst>
        </xdr:cNvPr>
        <xdr:cNvSpPr txBox="1"/>
      </xdr:nvSpPr>
      <xdr:spPr>
        <a:xfrm>
          <a:off x="1139825" y="141732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6E77598D-3101-AB40-B94B-34AC345AD7AE}"/>
            </a:ext>
          </a:extLst>
        </xdr:cNvPr>
        <xdr:cNvSpPr txBox="1"/>
      </xdr:nvSpPr>
      <xdr:spPr>
        <a:xfrm>
          <a:off x="1139825" y="141732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0FD1A4E9-37C1-BA49-8CF0-5450870FD6C5}"/>
            </a:ext>
          </a:extLst>
        </xdr:cNvPr>
        <xdr:cNvSpPr txBox="1"/>
      </xdr:nvSpPr>
      <xdr:spPr>
        <a:xfrm>
          <a:off x="1139825" y="12344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186A4140-ECCE-144C-8822-A8465838B935}"/>
            </a:ext>
          </a:extLst>
        </xdr:cNvPr>
        <xdr:cNvSpPr txBox="1"/>
      </xdr:nvSpPr>
      <xdr:spPr>
        <a:xfrm>
          <a:off x="1139825" y="12344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4C675A2A-5BD2-B049-B9BF-5A757F664BDB}"/>
            </a:ext>
          </a:extLst>
        </xdr:cNvPr>
        <xdr:cNvSpPr txBox="1"/>
      </xdr:nvSpPr>
      <xdr:spPr>
        <a:xfrm>
          <a:off x="1139825" y="12344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BEEC39DC-0F39-214A-A536-20F577A21C45}"/>
            </a:ext>
          </a:extLst>
        </xdr:cNvPr>
        <xdr:cNvSpPr txBox="1"/>
      </xdr:nvSpPr>
      <xdr:spPr>
        <a:xfrm>
          <a:off x="1139825" y="12344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F0E85414-CDB9-5D4F-81A9-624FAAB88992}"/>
            </a:ext>
          </a:extLst>
        </xdr:cNvPr>
        <xdr:cNvSpPr txBox="1"/>
      </xdr:nvSpPr>
      <xdr:spPr>
        <a:xfrm>
          <a:off x="1139825" y="141732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17" name="Textfeld 16">
          <a:extLst>
            <a:ext uri="{FF2B5EF4-FFF2-40B4-BE49-F238E27FC236}">
              <a16:creationId xmlns:a16="http://schemas.microsoft.com/office/drawing/2014/main" id="{B52A52CF-6300-9445-8BEF-3E779211AD47}"/>
            </a:ext>
          </a:extLst>
        </xdr:cNvPr>
        <xdr:cNvSpPr txBox="1"/>
      </xdr:nvSpPr>
      <xdr:spPr>
        <a:xfrm>
          <a:off x="1139825" y="141732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18" name="Textfeld 17">
          <a:extLst>
            <a:ext uri="{FF2B5EF4-FFF2-40B4-BE49-F238E27FC236}">
              <a16:creationId xmlns:a16="http://schemas.microsoft.com/office/drawing/2014/main" id="{FB525DE6-98D3-4F41-BC56-34173A0CC7B0}"/>
            </a:ext>
          </a:extLst>
        </xdr:cNvPr>
        <xdr:cNvSpPr txBox="1"/>
      </xdr:nvSpPr>
      <xdr:spPr>
        <a:xfrm>
          <a:off x="1139825" y="141732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071CDA63-53AA-6443-A014-C5160CD74A87}"/>
            </a:ext>
          </a:extLst>
        </xdr:cNvPr>
        <xdr:cNvSpPr txBox="1"/>
      </xdr:nvSpPr>
      <xdr:spPr>
        <a:xfrm>
          <a:off x="1139825" y="14376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B6B797DA-4DE6-AA45-A973-183B39B5780D}"/>
            </a:ext>
          </a:extLst>
        </xdr:cNvPr>
        <xdr:cNvSpPr txBox="1"/>
      </xdr:nvSpPr>
      <xdr:spPr>
        <a:xfrm>
          <a:off x="1139825" y="14376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21" name="Textfeld 20">
          <a:extLst>
            <a:ext uri="{FF2B5EF4-FFF2-40B4-BE49-F238E27FC236}">
              <a16:creationId xmlns:a16="http://schemas.microsoft.com/office/drawing/2014/main" id="{69709733-F01B-9D40-B44D-69EABA42A768}"/>
            </a:ext>
          </a:extLst>
        </xdr:cNvPr>
        <xdr:cNvSpPr txBox="1"/>
      </xdr:nvSpPr>
      <xdr:spPr>
        <a:xfrm>
          <a:off x="1139825" y="14376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22" name="Textfeld 21">
          <a:extLst>
            <a:ext uri="{FF2B5EF4-FFF2-40B4-BE49-F238E27FC236}">
              <a16:creationId xmlns:a16="http://schemas.microsoft.com/office/drawing/2014/main" id="{435F85F9-79DC-824D-B7DC-4B108B2C381F}"/>
            </a:ext>
          </a:extLst>
        </xdr:cNvPr>
        <xdr:cNvSpPr txBox="1"/>
      </xdr:nvSpPr>
      <xdr:spPr>
        <a:xfrm>
          <a:off x="1139825" y="14376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23" name="Textfeld 22">
          <a:extLst>
            <a:ext uri="{FF2B5EF4-FFF2-40B4-BE49-F238E27FC236}">
              <a16:creationId xmlns:a16="http://schemas.microsoft.com/office/drawing/2014/main" id="{23A632EB-092D-6748-AC72-CB971FB65011}"/>
            </a:ext>
          </a:extLst>
        </xdr:cNvPr>
        <xdr:cNvSpPr txBox="1"/>
      </xdr:nvSpPr>
      <xdr:spPr>
        <a:xfrm>
          <a:off x="1139825" y="14376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24" name="Textfeld 23">
          <a:extLst>
            <a:ext uri="{FF2B5EF4-FFF2-40B4-BE49-F238E27FC236}">
              <a16:creationId xmlns:a16="http://schemas.microsoft.com/office/drawing/2014/main" id="{8C32DA31-31CE-0C40-96F6-CE50DB258584}"/>
            </a:ext>
          </a:extLst>
        </xdr:cNvPr>
        <xdr:cNvSpPr txBox="1"/>
      </xdr:nvSpPr>
      <xdr:spPr>
        <a:xfrm>
          <a:off x="1139825" y="14376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25" name="Textfeld 24">
          <a:extLst>
            <a:ext uri="{FF2B5EF4-FFF2-40B4-BE49-F238E27FC236}">
              <a16:creationId xmlns:a16="http://schemas.microsoft.com/office/drawing/2014/main" id="{27531AB1-02C1-9645-92E7-77FAD549FDB6}"/>
            </a:ext>
          </a:extLst>
        </xdr:cNvPr>
        <xdr:cNvSpPr txBox="1"/>
      </xdr:nvSpPr>
      <xdr:spPr>
        <a:xfrm>
          <a:off x="1139825" y="14376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26" name="Textfeld 25">
          <a:extLst>
            <a:ext uri="{FF2B5EF4-FFF2-40B4-BE49-F238E27FC236}">
              <a16:creationId xmlns:a16="http://schemas.microsoft.com/office/drawing/2014/main" id="{36983604-9FD4-C04B-9A6E-23D68953A9A8}"/>
            </a:ext>
          </a:extLst>
        </xdr:cNvPr>
        <xdr:cNvSpPr txBox="1"/>
      </xdr:nvSpPr>
      <xdr:spPr>
        <a:xfrm>
          <a:off x="1139825" y="14376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20</xdr:row>
      <xdr:rowOff>161925</xdr:rowOff>
    </xdr:from>
    <xdr:ext cx="191042" cy="255145"/>
    <xdr:sp macro="" textlink="">
      <xdr:nvSpPr>
        <xdr:cNvPr id="27" name="Textfeld 26">
          <a:extLst>
            <a:ext uri="{FF2B5EF4-FFF2-40B4-BE49-F238E27FC236}">
              <a16:creationId xmlns:a16="http://schemas.microsoft.com/office/drawing/2014/main" id="{C18D00EE-2BC7-DF4B-AF3C-08DD521697C4}"/>
            </a:ext>
          </a:extLst>
        </xdr:cNvPr>
        <xdr:cNvSpPr txBox="1"/>
      </xdr:nvSpPr>
      <xdr:spPr>
        <a:xfrm>
          <a:off x="1139825" y="4225925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20</xdr:row>
      <xdr:rowOff>161925</xdr:rowOff>
    </xdr:from>
    <xdr:ext cx="191042" cy="255145"/>
    <xdr:sp macro="" textlink="">
      <xdr:nvSpPr>
        <xdr:cNvPr id="28" name="Textfeld 27">
          <a:extLst>
            <a:ext uri="{FF2B5EF4-FFF2-40B4-BE49-F238E27FC236}">
              <a16:creationId xmlns:a16="http://schemas.microsoft.com/office/drawing/2014/main" id="{E50F7A90-BF26-A046-BCD5-ED97B1AB80F6}"/>
            </a:ext>
          </a:extLst>
        </xdr:cNvPr>
        <xdr:cNvSpPr txBox="1"/>
      </xdr:nvSpPr>
      <xdr:spPr>
        <a:xfrm>
          <a:off x="1139825" y="4225925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29" name="Textfeld 28">
          <a:extLst>
            <a:ext uri="{FF2B5EF4-FFF2-40B4-BE49-F238E27FC236}">
              <a16:creationId xmlns:a16="http://schemas.microsoft.com/office/drawing/2014/main" id="{42CC109A-2183-3A4C-B3A7-2C9386B5374A}"/>
            </a:ext>
          </a:extLst>
        </xdr:cNvPr>
        <xdr:cNvSpPr txBox="1"/>
      </xdr:nvSpPr>
      <xdr:spPr>
        <a:xfrm>
          <a:off x="1139825" y="12344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B0B200AB-62C6-2347-A8ED-684B1CEE7CA5}"/>
            </a:ext>
          </a:extLst>
        </xdr:cNvPr>
        <xdr:cNvSpPr txBox="1"/>
      </xdr:nvSpPr>
      <xdr:spPr>
        <a:xfrm>
          <a:off x="1139825" y="12344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76FF0FFC-7BF0-A448-8185-15010DBD3418}"/>
            </a:ext>
          </a:extLst>
        </xdr:cNvPr>
        <xdr:cNvSpPr txBox="1"/>
      </xdr:nvSpPr>
      <xdr:spPr>
        <a:xfrm>
          <a:off x="1139825" y="12344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32" name="Textfeld 31">
          <a:extLst>
            <a:ext uri="{FF2B5EF4-FFF2-40B4-BE49-F238E27FC236}">
              <a16:creationId xmlns:a16="http://schemas.microsoft.com/office/drawing/2014/main" id="{36FC5F1B-C2AF-2E4E-B064-8099ACA2610A}"/>
            </a:ext>
          </a:extLst>
        </xdr:cNvPr>
        <xdr:cNvSpPr txBox="1"/>
      </xdr:nvSpPr>
      <xdr:spPr>
        <a:xfrm>
          <a:off x="1139825" y="12344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33" name="Textfeld 32">
          <a:extLst>
            <a:ext uri="{FF2B5EF4-FFF2-40B4-BE49-F238E27FC236}">
              <a16:creationId xmlns:a16="http://schemas.microsoft.com/office/drawing/2014/main" id="{642ECC07-66D3-8F40-91CA-3054DAB082E8}"/>
            </a:ext>
          </a:extLst>
        </xdr:cNvPr>
        <xdr:cNvSpPr txBox="1"/>
      </xdr:nvSpPr>
      <xdr:spPr>
        <a:xfrm>
          <a:off x="1139825" y="141732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34" name="Textfeld 33">
          <a:extLst>
            <a:ext uri="{FF2B5EF4-FFF2-40B4-BE49-F238E27FC236}">
              <a16:creationId xmlns:a16="http://schemas.microsoft.com/office/drawing/2014/main" id="{868D6D3F-A837-FC43-9AEF-73A7E2A4B5BC}"/>
            </a:ext>
          </a:extLst>
        </xdr:cNvPr>
        <xdr:cNvSpPr txBox="1"/>
      </xdr:nvSpPr>
      <xdr:spPr>
        <a:xfrm>
          <a:off x="1139825" y="141732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35" name="Textfeld 34">
          <a:extLst>
            <a:ext uri="{FF2B5EF4-FFF2-40B4-BE49-F238E27FC236}">
              <a16:creationId xmlns:a16="http://schemas.microsoft.com/office/drawing/2014/main" id="{1ECDF8F0-75C3-304B-9976-7F9B44AD4B23}"/>
            </a:ext>
          </a:extLst>
        </xdr:cNvPr>
        <xdr:cNvSpPr txBox="1"/>
      </xdr:nvSpPr>
      <xdr:spPr>
        <a:xfrm>
          <a:off x="1139825" y="141732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36" name="Textfeld 35">
          <a:extLst>
            <a:ext uri="{FF2B5EF4-FFF2-40B4-BE49-F238E27FC236}">
              <a16:creationId xmlns:a16="http://schemas.microsoft.com/office/drawing/2014/main" id="{BA1E2BDC-E797-D642-B163-8826A15D3BAD}"/>
            </a:ext>
          </a:extLst>
        </xdr:cNvPr>
        <xdr:cNvSpPr txBox="1"/>
      </xdr:nvSpPr>
      <xdr:spPr>
        <a:xfrm>
          <a:off x="1139825" y="141732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37" name="Textfeld 36">
          <a:extLst>
            <a:ext uri="{FF2B5EF4-FFF2-40B4-BE49-F238E27FC236}">
              <a16:creationId xmlns:a16="http://schemas.microsoft.com/office/drawing/2014/main" id="{E877EDA3-6F9D-6A4B-9778-2D835AED39F2}"/>
            </a:ext>
          </a:extLst>
        </xdr:cNvPr>
        <xdr:cNvSpPr txBox="1"/>
      </xdr:nvSpPr>
      <xdr:spPr>
        <a:xfrm>
          <a:off x="1139825" y="12344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38" name="Textfeld 37">
          <a:extLst>
            <a:ext uri="{FF2B5EF4-FFF2-40B4-BE49-F238E27FC236}">
              <a16:creationId xmlns:a16="http://schemas.microsoft.com/office/drawing/2014/main" id="{A2E9B52D-03CF-2F45-8463-D90C73E7F119}"/>
            </a:ext>
          </a:extLst>
        </xdr:cNvPr>
        <xdr:cNvSpPr txBox="1"/>
      </xdr:nvSpPr>
      <xdr:spPr>
        <a:xfrm>
          <a:off x="1139825" y="12344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39" name="Textfeld 38">
          <a:extLst>
            <a:ext uri="{FF2B5EF4-FFF2-40B4-BE49-F238E27FC236}">
              <a16:creationId xmlns:a16="http://schemas.microsoft.com/office/drawing/2014/main" id="{D85C6A24-4365-B842-AA35-A1F3C0F39CEA}"/>
            </a:ext>
          </a:extLst>
        </xdr:cNvPr>
        <xdr:cNvSpPr txBox="1"/>
      </xdr:nvSpPr>
      <xdr:spPr>
        <a:xfrm>
          <a:off x="1139825" y="12344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40" name="Textfeld 39">
          <a:extLst>
            <a:ext uri="{FF2B5EF4-FFF2-40B4-BE49-F238E27FC236}">
              <a16:creationId xmlns:a16="http://schemas.microsoft.com/office/drawing/2014/main" id="{72B85070-AF88-2542-8900-DA078E613924}"/>
            </a:ext>
          </a:extLst>
        </xdr:cNvPr>
        <xdr:cNvSpPr txBox="1"/>
      </xdr:nvSpPr>
      <xdr:spPr>
        <a:xfrm>
          <a:off x="1139825" y="12344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41" name="Textfeld 40">
          <a:extLst>
            <a:ext uri="{FF2B5EF4-FFF2-40B4-BE49-F238E27FC236}">
              <a16:creationId xmlns:a16="http://schemas.microsoft.com/office/drawing/2014/main" id="{ED1CE3D2-5AF0-4D40-9106-EFDF58BC6425}"/>
            </a:ext>
          </a:extLst>
        </xdr:cNvPr>
        <xdr:cNvSpPr txBox="1"/>
      </xdr:nvSpPr>
      <xdr:spPr>
        <a:xfrm>
          <a:off x="1139825" y="141732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42" name="Textfeld 41">
          <a:extLst>
            <a:ext uri="{FF2B5EF4-FFF2-40B4-BE49-F238E27FC236}">
              <a16:creationId xmlns:a16="http://schemas.microsoft.com/office/drawing/2014/main" id="{58F024E9-F135-654E-8F86-8D36375D32B2}"/>
            </a:ext>
          </a:extLst>
        </xdr:cNvPr>
        <xdr:cNvSpPr txBox="1"/>
      </xdr:nvSpPr>
      <xdr:spPr>
        <a:xfrm>
          <a:off x="1139825" y="141732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43" name="Textfeld 42">
          <a:extLst>
            <a:ext uri="{FF2B5EF4-FFF2-40B4-BE49-F238E27FC236}">
              <a16:creationId xmlns:a16="http://schemas.microsoft.com/office/drawing/2014/main" id="{1B33D7C4-2D98-8943-8097-FF8A1E46F884}"/>
            </a:ext>
          </a:extLst>
        </xdr:cNvPr>
        <xdr:cNvSpPr txBox="1"/>
      </xdr:nvSpPr>
      <xdr:spPr>
        <a:xfrm>
          <a:off x="1139825" y="141732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44" name="Textfeld 43">
          <a:extLst>
            <a:ext uri="{FF2B5EF4-FFF2-40B4-BE49-F238E27FC236}">
              <a16:creationId xmlns:a16="http://schemas.microsoft.com/office/drawing/2014/main" id="{51220BD1-EAA4-4049-893A-6EF73C32162B}"/>
            </a:ext>
          </a:extLst>
        </xdr:cNvPr>
        <xdr:cNvSpPr txBox="1"/>
      </xdr:nvSpPr>
      <xdr:spPr>
        <a:xfrm>
          <a:off x="1139825" y="14376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45" name="Textfeld 44">
          <a:extLst>
            <a:ext uri="{FF2B5EF4-FFF2-40B4-BE49-F238E27FC236}">
              <a16:creationId xmlns:a16="http://schemas.microsoft.com/office/drawing/2014/main" id="{4608BC63-7A9C-3246-B3F8-C5513CF1D9BA}"/>
            </a:ext>
          </a:extLst>
        </xdr:cNvPr>
        <xdr:cNvSpPr txBox="1"/>
      </xdr:nvSpPr>
      <xdr:spPr>
        <a:xfrm>
          <a:off x="1139825" y="14376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46" name="Textfeld 45">
          <a:extLst>
            <a:ext uri="{FF2B5EF4-FFF2-40B4-BE49-F238E27FC236}">
              <a16:creationId xmlns:a16="http://schemas.microsoft.com/office/drawing/2014/main" id="{F3CB16C1-1D9D-6E4F-994D-EC5119516250}"/>
            </a:ext>
          </a:extLst>
        </xdr:cNvPr>
        <xdr:cNvSpPr txBox="1"/>
      </xdr:nvSpPr>
      <xdr:spPr>
        <a:xfrm>
          <a:off x="1139825" y="14376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47" name="Textfeld 46">
          <a:extLst>
            <a:ext uri="{FF2B5EF4-FFF2-40B4-BE49-F238E27FC236}">
              <a16:creationId xmlns:a16="http://schemas.microsoft.com/office/drawing/2014/main" id="{0A4D4EE9-3DA4-954E-A054-7D4B45CD907D}"/>
            </a:ext>
          </a:extLst>
        </xdr:cNvPr>
        <xdr:cNvSpPr txBox="1"/>
      </xdr:nvSpPr>
      <xdr:spPr>
        <a:xfrm>
          <a:off x="1139825" y="14376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48" name="Textfeld 47">
          <a:extLst>
            <a:ext uri="{FF2B5EF4-FFF2-40B4-BE49-F238E27FC236}">
              <a16:creationId xmlns:a16="http://schemas.microsoft.com/office/drawing/2014/main" id="{92F8B0B9-C406-6444-8718-29FFC9752386}"/>
            </a:ext>
          </a:extLst>
        </xdr:cNvPr>
        <xdr:cNvSpPr txBox="1"/>
      </xdr:nvSpPr>
      <xdr:spPr>
        <a:xfrm>
          <a:off x="1139825" y="14376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49" name="Textfeld 48">
          <a:extLst>
            <a:ext uri="{FF2B5EF4-FFF2-40B4-BE49-F238E27FC236}">
              <a16:creationId xmlns:a16="http://schemas.microsoft.com/office/drawing/2014/main" id="{1F86371D-82A3-CD47-B79E-0C448E074A87}"/>
            </a:ext>
          </a:extLst>
        </xdr:cNvPr>
        <xdr:cNvSpPr txBox="1"/>
      </xdr:nvSpPr>
      <xdr:spPr>
        <a:xfrm>
          <a:off x="1139825" y="14376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50" name="Textfeld 49">
          <a:extLst>
            <a:ext uri="{FF2B5EF4-FFF2-40B4-BE49-F238E27FC236}">
              <a16:creationId xmlns:a16="http://schemas.microsoft.com/office/drawing/2014/main" id="{418A6A71-BD39-314C-983B-AD9B99DA1BBB}"/>
            </a:ext>
          </a:extLst>
        </xdr:cNvPr>
        <xdr:cNvSpPr txBox="1"/>
      </xdr:nvSpPr>
      <xdr:spPr>
        <a:xfrm>
          <a:off x="1139825" y="14376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51" name="Textfeld 50">
          <a:extLst>
            <a:ext uri="{FF2B5EF4-FFF2-40B4-BE49-F238E27FC236}">
              <a16:creationId xmlns:a16="http://schemas.microsoft.com/office/drawing/2014/main" id="{AF235B16-A10E-E945-96A4-6EA480A84F75}"/>
            </a:ext>
          </a:extLst>
        </xdr:cNvPr>
        <xdr:cNvSpPr txBox="1"/>
      </xdr:nvSpPr>
      <xdr:spPr>
        <a:xfrm>
          <a:off x="1139825" y="14376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twoCellAnchor editAs="oneCell">
    <xdr:from>
      <xdr:col>25</xdr:col>
      <xdr:colOff>558800</xdr:colOff>
      <xdr:row>47</xdr:row>
      <xdr:rowOff>162202</xdr:rowOff>
    </xdr:from>
    <xdr:to>
      <xdr:col>34</xdr:col>
      <xdr:colOff>482600</xdr:colOff>
      <xdr:row>57</xdr:row>
      <xdr:rowOff>76199</xdr:rowOff>
    </xdr:to>
    <xdr:pic>
      <xdr:nvPicPr>
        <xdr:cNvPr id="52" name="Grafik 51">
          <a:extLst>
            <a:ext uri="{FF2B5EF4-FFF2-40B4-BE49-F238E27FC236}">
              <a16:creationId xmlns:a16="http://schemas.microsoft.com/office/drawing/2014/main" id="{AE7DF575-EB55-2E4A-9A24-DA9FACC07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49000" y="9865002"/>
          <a:ext cx="7353300" cy="1945997"/>
        </a:xfrm>
        <a:prstGeom prst="rect">
          <a:avLst/>
        </a:prstGeom>
      </xdr:spPr>
    </xdr:pic>
    <xdr:clientData/>
  </xdr:twoCellAnchor>
  <xdr:twoCellAnchor editAs="oneCell">
    <xdr:from>
      <xdr:col>20</xdr:col>
      <xdr:colOff>482600</xdr:colOff>
      <xdr:row>57</xdr:row>
      <xdr:rowOff>127000</xdr:rowOff>
    </xdr:from>
    <xdr:to>
      <xdr:col>29</xdr:col>
      <xdr:colOff>406400</xdr:colOff>
      <xdr:row>66</xdr:row>
      <xdr:rowOff>87659</xdr:rowOff>
    </xdr:to>
    <xdr:pic>
      <xdr:nvPicPr>
        <xdr:cNvPr id="53" name="Grafik 52">
          <a:extLst>
            <a:ext uri="{FF2B5EF4-FFF2-40B4-BE49-F238E27FC236}">
              <a16:creationId xmlns:a16="http://schemas.microsoft.com/office/drawing/2014/main" id="{FBA45A6E-DBAE-AE4F-BA69-2CFFD5F8B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45300" y="11861800"/>
          <a:ext cx="7353300" cy="17894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20</xdr:row>
      <xdr:rowOff>161925</xdr:rowOff>
    </xdr:from>
    <xdr:ext cx="191042" cy="255145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75BCF235-1AE5-3C47-A899-D9A9DCE547D2}"/>
            </a:ext>
          </a:extLst>
        </xdr:cNvPr>
        <xdr:cNvSpPr txBox="1"/>
      </xdr:nvSpPr>
      <xdr:spPr>
        <a:xfrm>
          <a:off x="1139825" y="4225925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20</xdr:row>
      <xdr:rowOff>161925</xdr:rowOff>
    </xdr:from>
    <xdr:ext cx="191042" cy="255145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69C4E97A-161C-B340-A473-56E465728B51}"/>
            </a:ext>
          </a:extLst>
        </xdr:cNvPr>
        <xdr:cNvSpPr txBox="1"/>
      </xdr:nvSpPr>
      <xdr:spPr>
        <a:xfrm>
          <a:off x="1139825" y="4225925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B2E23C79-E71D-A640-BF02-A1F44EB4224E}"/>
            </a:ext>
          </a:extLst>
        </xdr:cNvPr>
        <xdr:cNvSpPr txBox="1"/>
      </xdr:nvSpPr>
      <xdr:spPr>
        <a:xfrm>
          <a:off x="1139825" y="12344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715F19BD-7C78-EB4E-B252-D85051F6DD60}"/>
            </a:ext>
          </a:extLst>
        </xdr:cNvPr>
        <xdr:cNvSpPr txBox="1"/>
      </xdr:nvSpPr>
      <xdr:spPr>
        <a:xfrm>
          <a:off x="1139825" y="12344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6AB007F0-2150-BC49-8EB4-2C659E9D59A6}"/>
            </a:ext>
          </a:extLst>
        </xdr:cNvPr>
        <xdr:cNvSpPr txBox="1"/>
      </xdr:nvSpPr>
      <xdr:spPr>
        <a:xfrm>
          <a:off x="1139825" y="12344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1A1B788A-4709-804B-8B48-2B82DCDA17C8}"/>
            </a:ext>
          </a:extLst>
        </xdr:cNvPr>
        <xdr:cNvSpPr txBox="1"/>
      </xdr:nvSpPr>
      <xdr:spPr>
        <a:xfrm>
          <a:off x="1139825" y="12344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DE260B4B-1899-DA4E-8D1C-4675E3C1AA5C}"/>
            </a:ext>
          </a:extLst>
        </xdr:cNvPr>
        <xdr:cNvSpPr txBox="1"/>
      </xdr:nvSpPr>
      <xdr:spPr>
        <a:xfrm>
          <a:off x="1139825" y="141732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8B506794-A0F9-1D45-9376-E29BD9BBAA5A}"/>
            </a:ext>
          </a:extLst>
        </xdr:cNvPr>
        <xdr:cNvSpPr txBox="1"/>
      </xdr:nvSpPr>
      <xdr:spPr>
        <a:xfrm>
          <a:off x="1139825" y="141732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16D9B41B-1F3A-5248-9994-10825F689830}"/>
            </a:ext>
          </a:extLst>
        </xdr:cNvPr>
        <xdr:cNvSpPr txBox="1"/>
      </xdr:nvSpPr>
      <xdr:spPr>
        <a:xfrm>
          <a:off x="1139825" y="141732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ADFC6A10-3ED2-B64D-8700-F35258AC442E}"/>
            </a:ext>
          </a:extLst>
        </xdr:cNvPr>
        <xdr:cNvSpPr txBox="1"/>
      </xdr:nvSpPr>
      <xdr:spPr>
        <a:xfrm>
          <a:off x="1139825" y="141732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78A6C86D-5F67-044E-9990-7646EE8DF073}"/>
            </a:ext>
          </a:extLst>
        </xdr:cNvPr>
        <xdr:cNvSpPr txBox="1"/>
      </xdr:nvSpPr>
      <xdr:spPr>
        <a:xfrm>
          <a:off x="1139825" y="12344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45EB18EC-DF7A-784E-8C35-200BFC68EBD7}"/>
            </a:ext>
          </a:extLst>
        </xdr:cNvPr>
        <xdr:cNvSpPr txBox="1"/>
      </xdr:nvSpPr>
      <xdr:spPr>
        <a:xfrm>
          <a:off x="1139825" y="12344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3F6563ED-F4B2-F049-9F56-A6F089DFB99A}"/>
            </a:ext>
          </a:extLst>
        </xdr:cNvPr>
        <xdr:cNvSpPr txBox="1"/>
      </xdr:nvSpPr>
      <xdr:spPr>
        <a:xfrm>
          <a:off x="1139825" y="12344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F4A29E02-86E7-9B43-97C3-76ADAA8D0638}"/>
            </a:ext>
          </a:extLst>
        </xdr:cNvPr>
        <xdr:cNvSpPr txBox="1"/>
      </xdr:nvSpPr>
      <xdr:spPr>
        <a:xfrm>
          <a:off x="1139825" y="12344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55E07B42-310F-7C45-A35E-112FE74FC3BF}"/>
            </a:ext>
          </a:extLst>
        </xdr:cNvPr>
        <xdr:cNvSpPr txBox="1"/>
      </xdr:nvSpPr>
      <xdr:spPr>
        <a:xfrm>
          <a:off x="1139825" y="141732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17" name="Textfeld 16">
          <a:extLst>
            <a:ext uri="{FF2B5EF4-FFF2-40B4-BE49-F238E27FC236}">
              <a16:creationId xmlns:a16="http://schemas.microsoft.com/office/drawing/2014/main" id="{3FF26CEA-2749-224C-824E-2243B5F9BB7F}"/>
            </a:ext>
          </a:extLst>
        </xdr:cNvPr>
        <xdr:cNvSpPr txBox="1"/>
      </xdr:nvSpPr>
      <xdr:spPr>
        <a:xfrm>
          <a:off x="1139825" y="141732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18" name="Textfeld 17">
          <a:extLst>
            <a:ext uri="{FF2B5EF4-FFF2-40B4-BE49-F238E27FC236}">
              <a16:creationId xmlns:a16="http://schemas.microsoft.com/office/drawing/2014/main" id="{63980AD8-8FD9-3C41-A4CC-385519D9F498}"/>
            </a:ext>
          </a:extLst>
        </xdr:cNvPr>
        <xdr:cNvSpPr txBox="1"/>
      </xdr:nvSpPr>
      <xdr:spPr>
        <a:xfrm>
          <a:off x="1139825" y="141732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F75F5401-1264-764B-A7CC-C9881FE7C6AD}"/>
            </a:ext>
          </a:extLst>
        </xdr:cNvPr>
        <xdr:cNvSpPr txBox="1"/>
      </xdr:nvSpPr>
      <xdr:spPr>
        <a:xfrm>
          <a:off x="1139825" y="14376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D656446E-08B2-204A-82A3-8C1311540A96}"/>
            </a:ext>
          </a:extLst>
        </xdr:cNvPr>
        <xdr:cNvSpPr txBox="1"/>
      </xdr:nvSpPr>
      <xdr:spPr>
        <a:xfrm>
          <a:off x="1139825" y="14376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21" name="Textfeld 20">
          <a:extLst>
            <a:ext uri="{FF2B5EF4-FFF2-40B4-BE49-F238E27FC236}">
              <a16:creationId xmlns:a16="http://schemas.microsoft.com/office/drawing/2014/main" id="{962B6E78-A388-6E47-88C6-D3A0EFF5623F}"/>
            </a:ext>
          </a:extLst>
        </xdr:cNvPr>
        <xdr:cNvSpPr txBox="1"/>
      </xdr:nvSpPr>
      <xdr:spPr>
        <a:xfrm>
          <a:off x="1139825" y="14376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22" name="Textfeld 21">
          <a:extLst>
            <a:ext uri="{FF2B5EF4-FFF2-40B4-BE49-F238E27FC236}">
              <a16:creationId xmlns:a16="http://schemas.microsoft.com/office/drawing/2014/main" id="{4E4D10E8-F008-804F-8B7A-52DCC816FA5F}"/>
            </a:ext>
          </a:extLst>
        </xdr:cNvPr>
        <xdr:cNvSpPr txBox="1"/>
      </xdr:nvSpPr>
      <xdr:spPr>
        <a:xfrm>
          <a:off x="1139825" y="14376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23" name="Textfeld 22">
          <a:extLst>
            <a:ext uri="{FF2B5EF4-FFF2-40B4-BE49-F238E27FC236}">
              <a16:creationId xmlns:a16="http://schemas.microsoft.com/office/drawing/2014/main" id="{902F98C0-1E93-184D-A914-7AA473BD2159}"/>
            </a:ext>
          </a:extLst>
        </xdr:cNvPr>
        <xdr:cNvSpPr txBox="1"/>
      </xdr:nvSpPr>
      <xdr:spPr>
        <a:xfrm>
          <a:off x="1139825" y="14376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24" name="Textfeld 23">
          <a:extLst>
            <a:ext uri="{FF2B5EF4-FFF2-40B4-BE49-F238E27FC236}">
              <a16:creationId xmlns:a16="http://schemas.microsoft.com/office/drawing/2014/main" id="{3CC3D593-4CBC-DD4A-B23D-27070CFD9582}"/>
            </a:ext>
          </a:extLst>
        </xdr:cNvPr>
        <xdr:cNvSpPr txBox="1"/>
      </xdr:nvSpPr>
      <xdr:spPr>
        <a:xfrm>
          <a:off x="1139825" y="14376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25" name="Textfeld 24">
          <a:extLst>
            <a:ext uri="{FF2B5EF4-FFF2-40B4-BE49-F238E27FC236}">
              <a16:creationId xmlns:a16="http://schemas.microsoft.com/office/drawing/2014/main" id="{82778803-AE3A-E448-A4FC-1A1C9FE4379A}"/>
            </a:ext>
          </a:extLst>
        </xdr:cNvPr>
        <xdr:cNvSpPr txBox="1"/>
      </xdr:nvSpPr>
      <xdr:spPr>
        <a:xfrm>
          <a:off x="1139825" y="14376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26" name="Textfeld 25">
          <a:extLst>
            <a:ext uri="{FF2B5EF4-FFF2-40B4-BE49-F238E27FC236}">
              <a16:creationId xmlns:a16="http://schemas.microsoft.com/office/drawing/2014/main" id="{013A3C9B-05C0-F943-9467-53C4952BF124}"/>
            </a:ext>
          </a:extLst>
        </xdr:cNvPr>
        <xdr:cNvSpPr txBox="1"/>
      </xdr:nvSpPr>
      <xdr:spPr>
        <a:xfrm>
          <a:off x="1139825" y="14376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20</xdr:row>
      <xdr:rowOff>161925</xdr:rowOff>
    </xdr:from>
    <xdr:ext cx="191042" cy="255145"/>
    <xdr:sp macro="" textlink="">
      <xdr:nvSpPr>
        <xdr:cNvPr id="27" name="Textfeld 26">
          <a:extLst>
            <a:ext uri="{FF2B5EF4-FFF2-40B4-BE49-F238E27FC236}">
              <a16:creationId xmlns:a16="http://schemas.microsoft.com/office/drawing/2014/main" id="{C9F588B6-1E65-8044-A30F-BEB9CEB2E0E4}"/>
            </a:ext>
          </a:extLst>
        </xdr:cNvPr>
        <xdr:cNvSpPr txBox="1"/>
      </xdr:nvSpPr>
      <xdr:spPr>
        <a:xfrm>
          <a:off x="1139825" y="4225925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20</xdr:row>
      <xdr:rowOff>161925</xdr:rowOff>
    </xdr:from>
    <xdr:ext cx="191042" cy="255145"/>
    <xdr:sp macro="" textlink="">
      <xdr:nvSpPr>
        <xdr:cNvPr id="28" name="Textfeld 27">
          <a:extLst>
            <a:ext uri="{FF2B5EF4-FFF2-40B4-BE49-F238E27FC236}">
              <a16:creationId xmlns:a16="http://schemas.microsoft.com/office/drawing/2014/main" id="{D83E14D3-90E5-5D4E-904E-C79DF7E09FD4}"/>
            </a:ext>
          </a:extLst>
        </xdr:cNvPr>
        <xdr:cNvSpPr txBox="1"/>
      </xdr:nvSpPr>
      <xdr:spPr>
        <a:xfrm>
          <a:off x="1139825" y="4225925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29" name="Textfeld 28">
          <a:extLst>
            <a:ext uri="{FF2B5EF4-FFF2-40B4-BE49-F238E27FC236}">
              <a16:creationId xmlns:a16="http://schemas.microsoft.com/office/drawing/2014/main" id="{7FA3E5C9-2056-BE4B-9F60-500412881CFB}"/>
            </a:ext>
          </a:extLst>
        </xdr:cNvPr>
        <xdr:cNvSpPr txBox="1"/>
      </xdr:nvSpPr>
      <xdr:spPr>
        <a:xfrm>
          <a:off x="1139825" y="12344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4F113888-9B93-A949-9112-75CF1889846E}"/>
            </a:ext>
          </a:extLst>
        </xdr:cNvPr>
        <xdr:cNvSpPr txBox="1"/>
      </xdr:nvSpPr>
      <xdr:spPr>
        <a:xfrm>
          <a:off x="1139825" y="12344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243A096D-C52E-8146-BDC4-2C90C0048431}"/>
            </a:ext>
          </a:extLst>
        </xdr:cNvPr>
        <xdr:cNvSpPr txBox="1"/>
      </xdr:nvSpPr>
      <xdr:spPr>
        <a:xfrm>
          <a:off x="1139825" y="12344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32" name="Textfeld 31">
          <a:extLst>
            <a:ext uri="{FF2B5EF4-FFF2-40B4-BE49-F238E27FC236}">
              <a16:creationId xmlns:a16="http://schemas.microsoft.com/office/drawing/2014/main" id="{E5F93FC4-55AF-014B-ABE3-DFB5262D8431}"/>
            </a:ext>
          </a:extLst>
        </xdr:cNvPr>
        <xdr:cNvSpPr txBox="1"/>
      </xdr:nvSpPr>
      <xdr:spPr>
        <a:xfrm>
          <a:off x="1139825" y="12344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33" name="Textfeld 32">
          <a:extLst>
            <a:ext uri="{FF2B5EF4-FFF2-40B4-BE49-F238E27FC236}">
              <a16:creationId xmlns:a16="http://schemas.microsoft.com/office/drawing/2014/main" id="{489D48C9-DAB2-1149-93E9-429003144020}"/>
            </a:ext>
          </a:extLst>
        </xdr:cNvPr>
        <xdr:cNvSpPr txBox="1"/>
      </xdr:nvSpPr>
      <xdr:spPr>
        <a:xfrm>
          <a:off x="1139825" y="141732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34" name="Textfeld 33">
          <a:extLst>
            <a:ext uri="{FF2B5EF4-FFF2-40B4-BE49-F238E27FC236}">
              <a16:creationId xmlns:a16="http://schemas.microsoft.com/office/drawing/2014/main" id="{C4CE12B1-4151-3249-B520-039AEB22DE82}"/>
            </a:ext>
          </a:extLst>
        </xdr:cNvPr>
        <xdr:cNvSpPr txBox="1"/>
      </xdr:nvSpPr>
      <xdr:spPr>
        <a:xfrm>
          <a:off x="1139825" y="141732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35" name="Textfeld 34">
          <a:extLst>
            <a:ext uri="{FF2B5EF4-FFF2-40B4-BE49-F238E27FC236}">
              <a16:creationId xmlns:a16="http://schemas.microsoft.com/office/drawing/2014/main" id="{2C1FD673-6909-1D4C-A41E-70F7C0C79F84}"/>
            </a:ext>
          </a:extLst>
        </xdr:cNvPr>
        <xdr:cNvSpPr txBox="1"/>
      </xdr:nvSpPr>
      <xdr:spPr>
        <a:xfrm>
          <a:off x="1139825" y="141732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36" name="Textfeld 35">
          <a:extLst>
            <a:ext uri="{FF2B5EF4-FFF2-40B4-BE49-F238E27FC236}">
              <a16:creationId xmlns:a16="http://schemas.microsoft.com/office/drawing/2014/main" id="{D9E1C70F-4B45-5A45-9BAE-E8467D24E336}"/>
            </a:ext>
          </a:extLst>
        </xdr:cNvPr>
        <xdr:cNvSpPr txBox="1"/>
      </xdr:nvSpPr>
      <xdr:spPr>
        <a:xfrm>
          <a:off x="1139825" y="141732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37" name="Textfeld 36">
          <a:extLst>
            <a:ext uri="{FF2B5EF4-FFF2-40B4-BE49-F238E27FC236}">
              <a16:creationId xmlns:a16="http://schemas.microsoft.com/office/drawing/2014/main" id="{9C22BBF0-5234-F241-838E-A910498F741E}"/>
            </a:ext>
          </a:extLst>
        </xdr:cNvPr>
        <xdr:cNvSpPr txBox="1"/>
      </xdr:nvSpPr>
      <xdr:spPr>
        <a:xfrm>
          <a:off x="1139825" y="12344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38" name="Textfeld 37">
          <a:extLst>
            <a:ext uri="{FF2B5EF4-FFF2-40B4-BE49-F238E27FC236}">
              <a16:creationId xmlns:a16="http://schemas.microsoft.com/office/drawing/2014/main" id="{41A6342A-7F55-6443-B7CB-17CD8046B386}"/>
            </a:ext>
          </a:extLst>
        </xdr:cNvPr>
        <xdr:cNvSpPr txBox="1"/>
      </xdr:nvSpPr>
      <xdr:spPr>
        <a:xfrm>
          <a:off x="1139825" y="12344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39" name="Textfeld 38">
          <a:extLst>
            <a:ext uri="{FF2B5EF4-FFF2-40B4-BE49-F238E27FC236}">
              <a16:creationId xmlns:a16="http://schemas.microsoft.com/office/drawing/2014/main" id="{FC31FBBE-5EFD-7049-A48C-F7EEC0792E16}"/>
            </a:ext>
          </a:extLst>
        </xdr:cNvPr>
        <xdr:cNvSpPr txBox="1"/>
      </xdr:nvSpPr>
      <xdr:spPr>
        <a:xfrm>
          <a:off x="1139825" y="12344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40" name="Textfeld 39">
          <a:extLst>
            <a:ext uri="{FF2B5EF4-FFF2-40B4-BE49-F238E27FC236}">
              <a16:creationId xmlns:a16="http://schemas.microsoft.com/office/drawing/2014/main" id="{E60F508C-993D-CE4C-B1D2-9FF134B1463F}"/>
            </a:ext>
          </a:extLst>
        </xdr:cNvPr>
        <xdr:cNvSpPr txBox="1"/>
      </xdr:nvSpPr>
      <xdr:spPr>
        <a:xfrm>
          <a:off x="1139825" y="12344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41" name="Textfeld 40">
          <a:extLst>
            <a:ext uri="{FF2B5EF4-FFF2-40B4-BE49-F238E27FC236}">
              <a16:creationId xmlns:a16="http://schemas.microsoft.com/office/drawing/2014/main" id="{4819AD78-5E77-FA46-908A-79ADA68956B6}"/>
            </a:ext>
          </a:extLst>
        </xdr:cNvPr>
        <xdr:cNvSpPr txBox="1"/>
      </xdr:nvSpPr>
      <xdr:spPr>
        <a:xfrm>
          <a:off x="1139825" y="141732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42" name="Textfeld 41">
          <a:extLst>
            <a:ext uri="{FF2B5EF4-FFF2-40B4-BE49-F238E27FC236}">
              <a16:creationId xmlns:a16="http://schemas.microsoft.com/office/drawing/2014/main" id="{0945D22F-F251-AF42-87EC-65AF46417619}"/>
            </a:ext>
          </a:extLst>
        </xdr:cNvPr>
        <xdr:cNvSpPr txBox="1"/>
      </xdr:nvSpPr>
      <xdr:spPr>
        <a:xfrm>
          <a:off x="1139825" y="141732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43" name="Textfeld 42">
          <a:extLst>
            <a:ext uri="{FF2B5EF4-FFF2-40B4-BE49-F238E27FC236}">
              <a16:creationId xmlns:a16="http://schemas.microsoft.com/office/drawing/2014/main" id="{416B58BD-6AC6-9E49-A702-302E833D228F}"/>
            </a:ext>
          </a:extLst>
        </xdr:cNvPr>
        <xdr:cNvSpPr txBox="1"/>
      </xdr:nvSpPr>
      <xdr:spPr>
        <a:xfrm>
          <a:off x="1139825" y="141732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44" name="Textfeld 43">
          <a:extLst>
            <a:ext uri="{FF2B5EF4-FFF2-40B4-BE49-F238E27FC236}">
              <a16:creationId xmlns:a16="http://schemas.microsoft.com/office/drawing/2014/main" id="{CC3FF005-E52F-394C-8D9F-AC4FE837F9B0}"/>
            </a:ext>
          </a:extLst>
        </xdr:cNvPr>
        <xdr:cNvSpPr txBox="1"/>
      </xdr:nvSpPr>
      <xdr:spPr>
        <a:xfrm>
          <a:off x="1139825" y="14376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45" name="Textfeld 44">
          <a:extLst>
            <a:ext uri="{FF2B5EF4-FFF2-40B4-BE49-F238E27FC236}">
              <a16:creationId xmlns:a16="http://schemas.microsoft.com/office/drawing/2014/main" id="{1A6DE48D-87AD-7F4C-981C-FFB0696541CE}"/>
            </a:ext>
          </a:extLst>
        </xdr:cNvPr>
        <xdr:cNvSpPr txBox="1"/>
      </xdr:nvSpPr>
      <xdr:spPr>
        <a:xfrm>
          <a:off x="1139825" y="14376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46" name="Textfeld 45">
          <a:extLst>
            <a:ext uri="{FF2B5EF4-FFF2-40B4-BE49-F238E27FC236}">
              <a16:creationId xmlns:a16="http://schemas.microsoft.com/office/drawing/2014/main" id="{7639B0DE-8091-ED4F-AB2B-4EC9DF43FED5}"/>
            </a:ext>
          </a:extLst>
        </xdr:cNvPr>
        <xdr:cNvSpPr txBox="1"/>
      </xdr:nvSpPr>
      <xdr:spPr>
        <a:xfrm>
          <a:off x="1139825" y="14376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47" name="Textfeld 46">
          <a:extLst>
            <a:ext uri="{FF2B5EF4-FFF2-40B4-BE49-F238E27FC236}">
              <a16:creationId xmlns:a16="http://schemas.microsoft.com/office/drawing/2014/main" id="{7940F89C-49B2-604D-9767-6FD7E30307BF}"/>
            </a:ext>
          </a:extLst>
        </xdr:cNvPr>
        <xdr:cNvSpPr txBox="1"/>
      </xdr:nvSpPr>
      <xdr:spPr>
        <a:xfrm>
          <a:off x="1139825" y="14376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48" name="Textfeld 47">
          <a:extLst>
            <a:ext uri="{FF2B5EF4-FFF2-40B4-BE49-F238E27FC236}">
              <a16:creationId xmlns:a16="http://schemas.microsoft.com/office/drawing/2014/main" id="{EE2B2BBD-5861-BA46-99ED-F4399A037B57}"/>
            </a:ext>
          </a:extLst>
        </xdr:cNvPr>
        <xdr:cNvSpPr txBox="1"/>
      </xdr:nvSpPr>
      <xdr:spPr>
        <a:xfrm>
          <a:off x="1139825" y="14376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49" name="Textfeld 48">
          <a:extLst>
            <a:ext uri="{FF2B5EF4-FFF2-40B4-BE49-F238E27FC236}">
              <a16:creationId xmlns:a16="http://schemas.microsoft.com/office/drawing/2014/main" id="{879BB595-8EDB-034D-8FFB-5BEB6342114B}"/>
            </a:ext>
          </a:extLst>
        </xdr:cNvPr>
        <xdr:cNvSpPr txBox="1"/>
      </xdr:nvSpPr>
      <xdr:spPr>
        <a:xfrm>
          <a:off x="1139825" y="14376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50" name="Textfeld 49">
          <a:extLst>
            <a:ext uri="{FF2B5EF4-FFF2-40B4-BE49-F238E27FC236}">
              <a16:creationId xmlns:a16="http://schemas.microsoft.com/office/drawing/2014/main" id="{DC3F7325-813D-B24A-971B-FDAEC1E12617}"/>
            </a:ext>
          </a:extLst>
        </xdr:cNvPr>
        <xdr:cNvSpPr txBox="1"/>
      </xdr:nvSpPr>
      <xdr:spPr>
        <a:xfrm>
          <a:off x="1139825" y="14376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51" name="Textfeld 50">
          <a:extLst>
            <a:ext uri="{FF2B5EF4-FFF2-40B4-BE49-F238E27FC236}">
              <a16:creationId xmlns:a16="http://schemas.microsoft.com/office/drawing/2014/main" id="{945097F8-AECE-FF42-8F55-A34FEABDB8CE}"/>
            </a:ext>
          </a:extLst>
        </xdr:cNvPr>
        <xdr:cNvSpPr txBox="1"/>
      </xdr:nvSpPr>
      <xdr:spPr>
        <a:xfrm>
          <a:off x="1139825" y="143764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twoCellAnchor editAs="oneCell">
    <xdr:from>
      <xdr:col>25</xdr:col>
      <xdr:colOff>558800</xdr:colOff>
      <xdr:row>47</xdr:row>
      <xdr:rowOff>162202</xdr:rowOff>
    </xdr:from>
    <xdr:to>
      <xdr:col>34</xdr:col>
      <xdr:colOff>482600</xdr:colOff>
      <xdr:row>57</xdr:row>
      <xdr:rowOff>76199</xdr:rowOff>
    </xdr:to>
    <xdr:pic>
      <xdr:nvPicPr>
        <xdr:cNvPr id="52" name="Grafik 51">
          <a:extLst>
            <a:ext uri="{FF2B5EF4-FFF2-40B4-BE49-F238E27FC236}">
              <a16:creationId xmlns:a16="http://schemas.microsoft.com/office/drawing/2014/main" id="{1F8B879F-A84F-F448-800E-62B27758E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225000" y="9865002"/>
          <a:ext cx="7353300" cy="1945997"/>
        </a:xfrm>
        <a:prstGeom prst="rect">
          <a:avLst/>
        </a:prstGeom>
      </xdr:spPr>
    </xdr:pic>
    <xdr:clientData/>
  </xdr:twoCellAnchor>
  <xdr:twoCellAnchor editAs="oneCell">
    <xdr:from>
      <xdr:col>20</xdr:col>
      <xdr:colOff>482600</xdr:colOff>
      <xdr:row>57</xdr:row>
      <xdr:rowOff>127000</xdr:rowOff>
    </xdr:from>
    <xdr:to>
      <xdr:col>29</xdr:col>
      <xdr:colOff>406400</xdr:colOff>
      <xdr:row>66</xdr:row>
      <xdr:rowOff>87659</xdr:rowOff>
    </xdr:to>
    <xdr:pic>
      <xdr:nvPicPr>
        <xdr:cNvPr id="53" name="Grafik 52">
          <a:extLst>
            <a:ext uri="{FF2B5EF4-FFF2-40B4-BE49-F238E27FC236}">
              <a16:creationId xmlns:a16="http://schemas.microsoft.com/office/drawing/2014/main" id="{DD181F97-7453-204E-8071-E77128EA1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21300" y="11861800"/>
          <a:ext cx="7353300" cy="1789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05D15-5CD0-7F4F-9C1D-CAC2ED999838}">
  <sheetPr>
    <pageSetUpPr fitToPage="1"/>
  </sheetPr>
  <dimension ref="A1:Y81"/>
  <sheetViews>
    <sheetView topLeftCell="B1" zoomScale="75" zoomScaleNormal="75" workbookViewId="0">
      <selection activeCell="E16" sqref="E16"/>
    </sheetView>
  </sheetViews>
  <sheetFormatPr baseColWidth="10" defaultRowHeight="16"/>
  <cols>
    <col min="2" max="2" width="23.1640625" customWidth="1"/>
    <col min="3" max="3" width="32" customWidth="1"/>
  </cols>
  <sheetData>
    <row r="1" spans="1:25">
      <c r="A1" s="1" t="s">
        <v>0</v>
      </c>
    </row>
    <row r="4" spans="1:25">
      <c r="A4" s="2"/>
      <c r="B4" s="2"/>
      <c r="C4" s="2"/>
      <c r="D4" s="2"/>
      <c r="E4" s="2"/>
      <c r="F4" s="2"/>
    </row>
    <row r="5" spans="1:25">
      <c r="A5" s="2"/>
      <c r="B5" s="2"/>
      <c r="C5" s="2"/>
      <c r="D5" s="2"/>
      <c r="E5" s="2"/>
      <c r="F5" s="2"/>
    </row>
    <row r="6" spans="1:25">
      <c r="A6" s="2" t="s">
        <v>1</v>
      </c>
      <c r="B6" s="1" t="s">
        <v>136</v>
      </c>
      <c r="C6" s="2" t="s">
        <v>2</v>
      </c>
      <c r="D6" s="2"/>
      <c r="E6" s="2"/>
      <c r="F6" s="2"/>
    </row>
    <row r="7" spans="1:25">
      <c r="A7" s="3" t="s">
        <v>3</v>
      </c>
      <c r="B7" s="4">
        <v>2340</v>
      </c>
      <c r="C7" s="5"/>
      <c r="D7" s="5"/>
      <c r="E7" s="5" t="s">
        <v>4</v>
      </c>
      <c r="F7" s="5"/>
      <c r="G7" s="5"/>
      <c r="H7" s="5"/>
      <c r="I7" s="5"/>
      <c r="J7" s="5"/>
      <c r="K7" s="5"/>
      <c r="L7" s="5"/>
      <c r="M7" s="5"/>
      <c r="N7" s="5"/>
      <c r="O7" s="6"/>
      <c r="P7" s="7"/>
      <c r="Q7" s="7"/>
      <c r="R7" s="7"/>
      <c r="S7" s="7"/>
      <c r="T7" s="7"/>
      <c r="U7" s="7"/>
      <c r="V7" s="8"/>
      <c r="W7" s="8"/>
      <c r="X7" s="8"/>
      <c r="Y7" s="8"/>
    </row>
    <row r="8" spans="1:25">
      <c r="A8" s="3" t="s">
        <v>5</v>
      </c>
      <c r="B8" s="9">
        <v>173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7"/>
      <c r="Q8" s="7"/>
      <c r="R8" s="7"/>
      <c r="S8" s="7"/>
      <c r="T8" s="7"/>
      <c r="U8" s="7"/>
      <c r="V8" s="8"/>
      <c r="W8" s="8"/>
      <c r="X8" s="8"/>
      <c r="Y8" s="8"/>
    </row>
    <row r="9" spans="1:25">
      <c r="A9" s="3" t="s">
        <v>6</v>
      </c>
      <c r="B9" s="10">
        <v>14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7"/>
      <c r="Q9" s="7"/>
      <c r="R9" s="7"/>
      <c r="S9" s="7"/>
      <c r="T9" s="7"/>
      <c r="U9" s="7"/>
      <c r="V9" s="8"/>
      <c r="W9" s="8"/>
      <c r="X9" s="8"/>
      <c r="Y9" s="8"/>
    </row>
    <row r="10" spans="1:25">
      <c r="A10" s="3" t="s">
        <v>7</v>
      </c>
      <c r="B10" s="10">
        <v>6</v>
      </c>
      <c r="C10" s="11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7"/>
      <c r="Q10" s="7"/>
      <c r="R10" s="7"/>
      <c r="S10" s="7"/>
      <c r="T10" s="7"/>
      <c r="U10" s="7"/>
      <c r="V10" s="8"/>
      <c r="W10" s="8"/>
      <c r="X10" s="8"/>
      <c r="Y10" s="8"/>
    </row>
    <row r="11" spans="1:25">
      <c r="A11" s="3" t="s">
        <v>8</v>
      </c>
      <c r="B11" s="4">
        <v>38.5</v>
      </c>
      <c r="C11" s="5" t="s">
        <v>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7"/>
      <c r="Q11" s="7"/>
      <c r="R11" s="7"/>
      <c r="S11" s="7"/>
      <c r="T11" s="7"/>
      <c r="U11" s="7"/>
      <c r="V11" s="8"/>
      <c r="W11" s="8"/>
      <c r="X11" s="8"/>
      <c r="Y11" s="8"/>
    </row>
    <row r="12" spans="1:25">
      <c r="A12" s="3" t="s">
        <v>10</v>
      </c>
      <c r="B12" s="12" t="s">
        <v>138</v>
      </c>
      <c r="C12" s="5" t="s">
        <v>12</v>
      </c>
      <c r="D12" s="13" t="s">
        <v>11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7"/>
      <c r="Q12" s="7"/>
      <c r="R12" s="7"/>
      <c r="S12" s="7"/>
      <c r="T12" s="7"/>
      <c r="U12" s="7"/>
      <c r="V12" s="8"/>
      <c r="W12" s="8"/>
      <c r="X12" s="8"/>
      <c r="Y12" s="8"/>
    </row>
    <row r="13" spans="1:25">
      <c r="A13" s="3" t="s">
        <v>13</v>
      </c>
      <c r="B13" s="12">
        <v>24</v>
      </c>
      <c r="C13" s="5" t="s">
        <v>14</v>
      </c>
      <c r="D13" s="13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7"/>
      <c r="Q13" s="7"/>
      <c r="R13" s="7"/>
      <c r="S13" s="7"/>
      <c r="T13" s="7"/>
      <c r="U13" s="7"/>
      <c r="V13" s="8"/>
      <c r="W13" s="8"/>
      <c r="X13" s="8"/>
      <c r="Y13" s="8"/>
    </row>
    <row r="14" spans="1:25">
      <c r="A14" s="3" t="s">
        <v>15</v>
      </c>
      <c r="B14" s="14" t="s">
        <v>137</v>
      </c>
      <c r="C14" s="5" t="s">
        <v>141</v>
      </c>
      <c r="D14" s="5" t="s">
        <v>16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7"/>
      <c r="Q14" s="7"/>
      <c r="R14" s="7"/>
      <c r="S14" s="7"/>
      <c r="T14" s="7"/>
      <c r="U14" s="7"/>
      <c r="V14" s="8"/>
      <c r="W14" s="8"/>
      <c r="X14" s="8"/>
      <c r="Y14" s="8"/>
    </row>
    <row r="15" spans="1:25">
      <c r="A15" s="3" t="s">
        <v>17</v>
      </c>
      <c r="B15" s="4">
        <v>13.8</v>
      </c>
      <c r="C15" s="5" t="s">
        <v>140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 t="s">
        <v>4</v>
      </c>
      <c r="P15" s="7"/>
      <c r="Q15" s="7">
        <f>E21*14</f>
        <v>32760</v>
      </c>
      <c r="R15" s="7"/>
      <c r="S15" s="7"/>
      <c r="T15" s="7"/>
      <c r="U15" s="7"/>
      <c r="V15" s="8"/>
      <c r="W15" s="8"/>
      <c r="X15" s="8"/>
      <c r="Y15" s="8"/>
    </row>
    <row r="16" spans="1:25">
      <c r="A16" s="3" t="s">
        <v>18</v>
      </c>
      <c r="B16" s="15">
        <v>0</v>
      </c>
      <c r="C16" s="5" t="s">
        <v>19</v>
      </c>
      <c r="D16" s="5"/>
      <c r="E16" s="5">
        <v>166.68</v>
      </c>
      <c r="F16" s="5" t="s">
        <v>20</v>
      </c>
      <c r="G16" s="5"/>
      <c r="H16" s="5"/>
      <c r="I16" s="5"/>
      <c r="J16" s="5"/>
      <c r="K16" s="5"/>
      <c r="L16" s="5"/>
      <c r="M16" s="5"/>
      <c r="N16" s="5"/>
      <c r="O16" s="6"/>
      <c r="U16" s="7"/>
      <c r="V16" s="8"/>
      <c r="W16" s="8"/>
      <c r="X16" s="8"/>
      <c r="Y16" s="8"/>
    </row>
    <row r="17" spans="1:25">
      <c r="A17" s="3" t="s">
        <v>21</v>
      </c>
      <c r="B17" s="4">
        <v>0</v>
      </c>
      <c r="C17" s="5" t="s">
        <v>22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U17" s="7"/>
      <c r="V17" s="8"/>
      <c r="W17" s="8"/>
      <c r="X17" s="8"/>
      <c r="Y17" s="8"/>
    </row>
    <row r="18" spans="1:25">
      <c r="A18" s="3" t="s">
        <v>23</v>
      </c>
      <c r="B18" s="4">
        <v>0</v>
      </c>
      <c r="C18" s="5" t="s">
        <v>24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U18" s="7"/>
      <c r="V18" s="8"/>
      <c r="W18" s="8"/>
      <c r="X18" s="8"/>
      <c r="Y18" s="8"/>
    </row>
    <row r="19" spans="1:25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16" t="s">
        <v>25</v>
      </c>
      <c r="Q19" s="17">
        <f>B8</f>
        <v>173</v>
      </c>
      <c r="R19" s="18"/>
      <c r="S19" s="18"/>
      <c r="T19" s="18"/>
      <c r="U19" s="7"/>
      <c r="V19" s="8"/>
      <c r="W19" s="8"/>
      <c r="X19" s="8"/>
      <c r="Y19" s="8"/>
    </row>
    <row r="20" spans="1:25">
      <c r="A20" s="19" t="s">
        <v>26</v>
      </c>
      <c r="B20" s="20"/>
      <c r="C20" s="20"/>
      <c r="D20" s="20"/>
      <c r="E20" s="21"/>
      <c r="F20" s="5"/>
      <c r="G20" s="22" t="s">
        <v>27</v>
      </c>
      <c r="H20" s="23"/>
      <c r="I20" s="24"/>
      <c r="J20" s="18"/>
      <c r="K20" s="22" t="s">
        <v>28</v>
      </c>
      <c r="L20" s="172" t="s">
        <v>29</v>
      </c>
      <c r="M20" s="173"/>
      <c r="N20" s="5"/>
      <c r="O20" s="6"/>
      <c r="P20" s="25" t="s">
        <v>30</v>
      </c>
      <c r="Q20" s="26">
        <f>ROUND(E21/Q19,3)</f>
        <v>13.526</v>
      </c>
      <c r="R20" s="18"/>
      <c r="S20" s="18"/>
      <c r="T20" s="18"/>
      <c r="U20" s="27"/>
      <c r="V20" s="28"/>
      <c r="W20" s="28"/>
      <c r="X20" s="28"/>
      <c r="Y20" s="28"/>
    </row>
    <row r="21" spans="1:25">
      <c r="A21" s="29" t="s">
        <v>3</v>
      </c>
      <c r="B21" s="30"/>
      <c r="C21" s="31"/>
      <c r="D21" s="31"/>
      <c r="E21" s="32">
        <f>B7</f>
        <v>2340</v>
      </c>
      <c r="F21" s="5"/>
      <c r="G21" s="29" t="s">
        <v>3</v>
      </c>
      <c r="H21" s="33"/>
      <c r="I21" s="32">
        <f>E21</f>
        <v>2340</v>
      </c>
      <c r="J21" s="5"/>
      <c r="K21" s="29" t="s">
        <v>3</v>
      </c>
      <c r="L21" s="34"/>
      <c r="M21" s="32">
        <f>I21</f>
        <v>2340</v>
      </c>
      <c r="N21" s="5"/>
      <c r="O21" s="6"/>
      <c r="P21" s="35"/>
      <c r="Q21" s="35"/>
      <c r="R21" s="18"/>
      <c r="S21" s="18"/>
      <c r="T21" s="18"/>
      <c r="U21" s="27"/>
      <c r="V21" s="36"/>
      <c r="W21" s="36"/>
      <c r="X21" s="36"/>
      <c r="Y21" s="36"/>
    </row>
    <row r="22" spans="1:25">
      <c r="A22" s="37" t="s">
        <v>142</v>
      </c>
      <c r="B22" s="37"/>
      <c r="C22" s="38"/>
      <c r="D22" s="39"/>
      <c r="E22" s="40">
        <f>IF(B8&gt;0,(B7/B8)*(B9+B10),0)</f>
        <v>270.52023121387282</v>
      </c>
      <c r="F22" s="5"/>
      <c r="G22" s="34"/>
      <c r="H22" s="33"/>
      <c r="I22" s="41"/>
      <c r="J22" s="5"/>
      <c r="K22" s="34"/>
      <c r="L22" s="34"/>
      <c r="M22" s="41"/>
      <c r="N22" s="5"/>
      <c r="O22" s="6"/>
      <c r="P22" s="25" t="s">
        <v>31</v>
      </c>
      <c r="Q22" s="17">
        <f>B9</f>
        <v>14</v>
      </c>
      <c r="R22" s="42" t="s">
        <v>32</v>
      </c>
      <c r="S22" s="42"/>
      <c r="T22" s="43">
        <f>IF(Q22&lt;18,Q22,18)</f>
        <v>14</v>
      </c>
      <c r="U22" s="27"/>
      <c r="V22" s="36"/>
      <c r="W22" s="36"/>
      <c r="X22" s="36"/>
      <c r="Y22" s="36"/>
    </row>
    <row r="23" spans="1:25">
      <c r="A23" s="37" t="s">
        <v>143</v>
      </c>
      <c r="B23" s="37"/>
      <c r="C23" s="38"/>
      <c r="D23" s="39"/>
      <c r="E23" s="40">
        <f>IF(B8&gt;0,B7/B8/2*B9,0)</f>
        <v>94.682080924855484</v>
      </c>
      <c r="F23" s="5"/>
      <c r="G23" s="34"/>
      <c r="H23" s="33"/>
      <c r="I23" s="41"/>
      <c r="J23" s="5"/>
      <c r="K23" s="34"/>
      <c r="L23" s="34"/>
      <c r="M23" s="41"/>
      <c r="N23" s="5"/>
      <c r="O23" s="6"/>
      <c r="P23" s="25" t="s">
        <v>33</v>
      </c>
      <c r="Q23" s="17">
        <f>B10</f>
        <v>6</v>
      </c>
      <c r="R23" s="42" t="s">
        <v>32</v>
      </c>
      <c r="S23" s="42"/>
      <c r="T23" s="43">
        <f>Q23</f>
        <v>6</v>
      </c>
      <c r="U23" s="27"/>
      <c r="V23" s="36"/>
      <c r="W23" s="36"/>
      <c r="X23" s="36"/>
      <c r="Y23" s="36"/>
    </row>
    <row r="24" spans="1:25">
      <c r="A24" s="44" t="s">
        <v>144</v>
      </c>
      <c r="B24" s="44"/>
      <c r="C24" s="45"/>
      <c r="D24" s="45"/>
      <c r="E24" s="46">
        <f>IF(B8&gt;0,B7/B8*B10,0)</f>
        <v>81.156069364161851</v>
      </c>
      <c r="F24" s="5"/>
      <c r="G24" s="34"/>
      <c r="H24" s="33"/>
      <c r="I24" s="41"/>
      <c r="J24" s="5"/>
      <c r="K24" s="34"/>
      <c r="L24" s="34"/>
      <c r="M24" s="41"/>
      <c r="N24" s="5"/>
      <c r="O24" s="6"/>
      <c r="P24" s="25" t="s">
        <v>34</v>
      </c>
      <c r="Q24" s="26">
        <f>Q22+Q23</f>
        <v>20</v>
      </c>
      <c r="R24" s="18"/>
      <c r="S24" s="18"/>
      <c r="T24" s="18"/>
      <c r="U24" s="27"/>
      <c r="V24" s="36"/>
      <c r="W24" s="36"/>
      <c r="X24" s="36"/>
      <c r="Y24" s="36"/>
    </row>
    <row r="25" spans="1:25">
      <c r="A25" s="37" t="s">
        <v>35</v>
      </c>
      <c r="B25" s="37" t="s">
        <v>36</v>
      </c>
      <c r="C25" s="162">
        <f>IF(E25&gt;R36,R36,E25)</f>
        <v>2786.3583815028901</v>
      </c>
      <c r="D25" s="39"/>
      <c r="E25" s="47">
        <f>SUM(E21:E24)</f>
        <v>2786.3583815028901</v>
      </c>
      <c r="F25" s="5"/>
      <c r="G25" s="34" t="s">
        <v>37</v>
      </c>
      <c r="H25" s="48">
        <f>D26-1%</f>
        <v>0.17069999999999999</v>
      </c>
      <c r="I25" s="49">
        <f>I21*-H25</f>
        <v>-399.43799999999999</v>
      </c>
      <c r="J25" s="5"/>
      <c r="K25" s="34" t="s">
        <v>37</v>
      </c>
      <c r="L25" s="50">
        <f>H25</f>
        <v>0.17069999999999999</v>
      </c>
      <c r="M25" s="49">
        <f>M21*-L25</f>
        <v>-399.43799999999999</v>
      </c>
      <c r="N25" s="5"/>
      <c r="O25" s="6"/>
      <c r="P25" s="35"/>
      <c r="Q25" s="51"/>
      <c r="R25" s="18"/>
      <c r="S25" s="18"/>
      <c r="T25" s="18"/>
      <c r="U25" s="27"/>
      <c r="V25" s="36"/>
      <c r="W25" s="36"/>
      <c r="X25" s="36"/>
      <c r="Y25" s="36"/>
    </row>
    <row r="26" spans="1:25">
      <c r="A26" s="52" t="s">
        <v>38</v>
      </c>
      <c r="B26" s="37" t="s">
        <v>39</v>
      </c>
      <c r="C26" s="53">
        <f>E26</f>
        <v>-503.49495953757224</v>
      </c>
      <c r="D26" s="54">
        <f>S35</f>
        <v>0.1807</v>
      </c>
      <c r="E26" s="55">
        <f>-D26*C25</f>
        <v>-503.49495953757224</v>
      </c>
      <c r="F26" s="5"/>
      <c r="G26" s="34" t="s">
        <v>40</v>
      </c>
      <c r="H26" s="56">
        <f>I21</f>
        <v>2340</v>
      </c>
      <c r="I26" s="49"/>
      <c r="J26" s="5"/>
      <c r="K26" s="34" t="s">
        <v>40</v>
      </c>
      <c r="L26" s="57">
        <f>M21</f>
        <v>2340</v>
      </c>
      <c r="M26" s="49"/>
      <c r="N26" s="5"/>
      <c r="O26" s="6"/>
      <c r="T26" s="27"/>
      <c r="U26" s="27"/>
      <c r="V26" s="36"/>
      <c r="W26" s="36"/>
      <c r="X26" s="36"/>
      <c r="Y26" s="36"/>
    </row>
    <row r="27" spans="1:25">
      <c r="A27" s="58" t="s">
        <v>41</v>
      </c>
      <c r="B27" s="37" t="s">
        <v>146</v>
      </c>
      <c r="C27" s="59">
        <f>IF(B8&gt;0,IF(T22*Q20/2&gt;200,86,T22*Q20/2),0)*-1</f>
        <v>-94.682000000000002</v>
      </c>
      <c r="D27" s="39"/>
      <c r="E27" s="40"/>
      <c r="F27" s="5"/>
      <c r="G27" s="60" t="s">
        <v>42</v>
      </c>
      <c r="H27" s="56">
        <f>I25</f>
        <v>-399.43799999999999</v>
      </c>
      <c r="I27" s="49"/>
      <c r="J27" s="5"/>
      <c r="K27" s="60" t="s">
        <v>42</v>
      </c>
      <c r="L27" s="57">
        <f>M25</f>
        <v>-399.43799999999999</v>
      </c>
      <c r="M27" s="49"/>
      <c r="N27" s="5"/>
      <c r="O27" s="6"/>
      <c r="P27" s="27" t="s">
        <v>139</v>
      </c>
      <c r="Q27" s="27"/>
      <c r="R27" s="27"/>
      <c r="S27" s="27"/>
      <c r="T27" s="27"/>
      <c r="U27" s="27"/>
      <c r="V27" s="36"/>
      <c r="W27" s="36"/>
      <c r="X27" s="36"/>
      <c r="Y27" s="36"/>
    </row>
    <row r="28" spans="1:25">
      <c r="A28" s="58"/>
      <c r="B28" s="37" t="s">
        <v>145</v>
      </c>
      <c r="C28" s="59">
        <f>IF(B8&gt;0,IF(Q20*B10&gt;360,360,Q20*B10),0)*-1</f>
        <v>-81.156000000000006</v>
      </c>
      <c r="D28" s="39"/>
      <c r="E28" s="40"/>
      <c r="F28" s="5"/>
      <c r="G28" s="60"/>
      <c r="H28" s="61"/>
      <c r="I28" s="49"/>
      <c r="J28" s="5"/>
      <c r="K28" s="60"/>
      <c r="L28" s="57"/>
      <c r="M28" s="49"/>
      <c r="N28" s="5"/>
      <c r="O28" s="6"/>
      <c r="T28" s="27"/>
      <c r="U28" s="27"/>
      <c r="V28" s="36"/>
      <c r="W28" s="36"/>
      <c r="X28" s="36"/>
      <c r="Y28" s="36"/>
    </row>
    <row r="29" spans="1:25">
      <c r="A29" s="58"/>
      <c r="B29" s="37" t="s">
        <v>43</v>
      </c>
      <c r="C29" s="53">
        <f>-B11</f>
        <v>-38.5</v>
      </c>
      <c r="D29" s="39"/>
      <c r="E29" s="40"/>
      <c r="F29" s="5"/>
      <c r="G29" s="34"/>
      <c r="H29" s="56"/>
      <c r="I29" s="49"/>
      <c r="J29" s="5"/>
      <c r="K29" s="34"/>
      <c r="L29" s="57"/>
      <c r="M29" s="49"/>
      <c r="N29" s="5"/>
      <c r="O29" s="6"/>
      <c r="T29" s="27"/>
      <c r="U29" s="27"/>
      <c r="V29" s="36"/>
      <c r="W29" s="36"/>
      <c r="X29" s="36"/>
      <c r="Y29" s="36"/>
    </row>
    <row r="30" spans="1:25">
      <c r="A30" s="58"/>
      <c r="B30" s="37" t="s">
        <v>44</v>
      </c>
      <c r="C30" s="53">
        <f>IF(B12="klein",VLOOKUP(B13,P41:Q44,2,TRUE),IF(B12="groß",VLOOKUP(B13,R40:S44,2,TRUE),0))*-1</f>
        <v>-58</v>
      </c>
      <c r="D30" s="39"/>
      <c r="E30" s="40"/>
      <c r="F30" s="5"/>
      <c r="G30" s="60" t="s">
        <v>48</v>
      </c>
      <c r="H30" s="56">
        <v>-620</v>
      </c>
      <c r="I30" s="49"/>
      <c r="J30" s="5"/>
      <c r="K30" s="60" t="s">
        <v>48</v>
      </c>
      <c r="L30" s="57">
        <v>0</v>
      </c>
      <c r="M30" s="49"/>
      <c r="N30" s="5"/>
      <c r="O30" s="6"/>
      <c r="P30" s="62" t="s">
        <v>45</v>
      </c>
      <c r="Q30" s="63"/>
      <c r="R30" s="63"/>
      <c r="S30" s="64" t="s">
        <v>46</v>
      </c>
      <c r="T30" s="64"/>
      <c r="U30" s="27"/>
      <c r="V30" s="36"/>
      <c r="W30" s="36"/>
      <c r="X30" s="36"/>
      <c r="Y30" s="36"/>
    </row>
    <row r="31" spans="1:25">
      <c r="A31" s="58"/>
      <c r="B31" s="37" t="s">
        <v>47</v>
      </c>
      <c r="C31" s="53">
        <f>IF(B14="ja",IF(E21&lt;=3870,-E21*1%,-3870*1%),0)</f>
        <v>-23.400000000000002</v>
      </c>
      <c r="D31" s="39"/>
      <c r="E31" s="40"/>
      <c r="F31" s="5"/>
      <c r="H31" s="56"/>
      <c r="I31" s="49"/>
      <c r="J31" s="5"/>
      <c r="L31" s="57"/>
      <c r="M31" s="49"/>
      <c r="N31" s="5"/>
      <c r="O31" s="6"/>
      <c r="P31" s="65" t="s">
        <v>49</v>
      </c>
      <c r="Q31" s="66"/>
      <c r="R31" s="36">
        <v>0</v>
      </c>
      <c r="S31" s="67">
        <v>0</v>
      </c>
      <c r="T31" s="67"/>
      <c r="U31" s="27"/>
      <c r="V31" s="36"/>
      <c r="W31" s="36"/>
      <c r="X31" s="36"/>
      <c r="Y31" s="36"/>
    </row>
    <row r="32" spans="1:25">
      <c r="A32" s="58"/>
      <c r="B32" s="44" t="s">
        <v>50</v>
      </c>
      <c r="C32" s="68">
        <f>-B15</f>
        <v>-13.8</v>
      </c>
      <c r="D32" s="39"/>
      <c r="E32" s="40"/>
      <c r="F32" s="5"/>
      <c r="G32" s="34"/>
      <c r="H32" s="56"/>
      <c r="I32" s="49"/>
      <c r="J32" s="5"/>
      <c r="K32" s="34"/>
      <c r="L32" s="57"/>
      <c r="M32" s="49"/>
      <c r="N32" s="5"/>
      <c r="O32" s="6"/>
      <c r="P32" s="69" t="s">
        <v>51</v>
      </c>
      <c r="Q32" s="70"/>
      <c r="R32" s="71">
        <v>518.44000000000005</v>
      </c>
      <c r="S32" s="72">
        <v>0.1512</v>
      </c>
      <c r="T32" s="72"/>
      <c r="U32" s="27"/>
      <c r="V32" s="36"/>
      <c r="W32" s="36"/>
      <c r="X32" s="36"/>
      <c r="Y32" s="36"/>
    </row>
    <row r="33" spans="1:25" ht="18">
      <c r="A33" s="58"/>
      <c r="B33" s="73" t="s">
        <v>52</v>
      </c>
      <c r="C33" s="74">
        <f>SUM(C25:C32)</f>
        <v>1973.3254219653179</v>
      </c>
      <c r="D33" s="39"/>
      <c r="E33" s="40"/>
      <c r="F33" s="5"/>
      <c r="G33" s="34"/>
      <c r="H33" s="163"/>
      <c r="I33" s="49"/>
      <c r="J33" s="5"/>
      <c r="K33" s="34"/>
      <c r="L33" s="57"/>
      <c r="M33" s="49"/>
      <c r="N33" s="5"/>
      <c r="O33" s="6"/>
      <c r="P33" s="69" t="s">
        <v>51</v>
      </c>
      <c r="Q33" s="70"/>
      <c r="R33" s="75">
        <v>1951.01</v>
      </c>
      <c r="S33" s="72">
        <v>0.16120000000000001</v>
      </c>
      <c r="T33" s="72"/>
      <c r="U33" s="27"/>
      <c r="V33" s="36"/>
      <c r="W33" s="36"/>
      <c r="X33" s="36"/>
      <c r="Y33" s="36"/>
    </row>
    <row r="34" spans="1:25">
      <c r="A34" s="58"/>
      <c r="B34" s="37" t="s">
        <v>53</v>
      </c>
      <c r="C34" s="76">
        <f>VLOOKUP($C$33,$R$49:$S$52,2,TRUE)</f>
        <v>0.3</v>
      </c>
      <c r="D34" s="39"/>
      <c r="E34" s="40"/>
      <c r="F34" s="5"/>
      <c r="G34" s="34" t="s">
        <v>54</v>
      </c>
      <c r="H34" s="56">
        <f>H26+H27+H30</f>
        <v>1320.5619999999999</v>
      </c>
      <c r="I34" s="49"/>
      <c r="J34" s="5"/>
      <c r="K34" s="34" t="s">
        <v>54</v>
      </c>
      <c r="L34" s="57">
        <f>L26+L27+L30</f>
        <v>1940.5619999999999</v>
      </c>
      <c r="M34" s="49"/>
      <c r="N34" s="5"/>
      <c r="O34" s="6"/>
      <c r="P34" s="69" t="s">
        <v>51</v>
      </c>
      <c r="Q34" s="70"/>
      <c r="R34" s="75">
        <v>2128</v>
      </c>
      <c r="S34" s="72">
        <v>0.17119999999999999</v>
      </c>
      <c r="T34" s="72"/>
      <c r="U34" s="27"/>
      <c r="V34" s="36" t="s">
        <v>55</v>
      </c>
      <c r="W34" s="36"/>
      <c r="X34" s="36"/>
      <c r="Y34" s="36"/>
    </row>
    <row r="35" spans="1:25">
      <c r="A35" s="58"/>
      <c r="B35" s="77" t="s">
        <v>56</v>
      </c>
      <c r="C35" s="78">
        <f>C33*C34</f>
        <v>591.99762658959537</v>
      </c>
      <c r="D35" s="39" t="s">
        <v>4</v>
      </c>
      <c r="E35" s="40"/>
      <c r="F35" s="5"/>
      <c r="G35" s="79"/>
      <c r="H35" s="80">
        <v>0.06</v>
      </c>
      <c r="I35" s="49">
        <f>H34*-H35</f>
        <v>-79.233719999999991</v>
      </c>
      <c r="J35" s="5"/>
      <c r="K35" s="79"/>
      <c r="L35" s="81">
        <v>0.06</v>
      </c>
      <c r="M35" s="49">
        <f>L34*-L35</f>
        <v>-116.43371999999999</v>
      </c>
      <c r="N35" s="5"/>
      <c r="O35" s="6"/>
      <c r="P35" s="69" t="s">
        <v>51</v>
      </c>
      <c r="Q35" s="70"/>
      <c r="R35" s="75">
        <v>2306</v>
      </c>
      <c r="S35" s="72">
        <v>0.1807</v>
      </c>
      <c r="T35" s="72"/>
      <c r="U35" s="27"/>
      <c r="V35" s="28"/>
      <c r="W35" s="28"/>
      <c r="X35" s="28"/>
      <c r="Y35" s="28"/>
    </row>
    <row r="36" spans="1:25">
      <c r="A36" s="82" t="s">
        <v>57</v>
      </c>
      <c r="B36" s="83" t="s">
        <v>58</v>
      </c>
      <c r="C36" s="84">
        <f>-T51</f>
        <v>-428.96</v>
      </c>
      <c r="D36" s="85"/>
      <c r="E36" s="40"/>
      <c r="F36" s="5"/>
      <c r="G36" s="86"/>
      <c r="H36" s="2"/>
      <c r="I36" s="87"/>
      <c r="J36" s="5"/>
      <c r="K36" s="86"/>
      <c r="L36" s="79"/>
      <c r="M36" s="88"/>
      <c r="N36" s="5"/>
      <c r="O36" s="6"/>
      <c r="P36" s="89" t="s">
        <v>59</v>
      </c>
      <c r="Q36" s="90"/>
      <c r="R36" s="91">
        <v>6060</v>
      </c>
      <c r="S36" s="92">
        <v>0.1812</v>
      </c>
      <c r="T36" s="92"/>
      <c r="U36" s="27"/>
      <c r="V36" s="28"/>
      <c r="W36" s="28"/>
      <c r="X36" s="28"/>
      <c r="Y36" s="28"/>
    </row>
    <row r="37" spans="1:25">
      <c r="A37" s="82"/>
      <c r="B37" s="83" t="s">
        <v>60</v>
      </c>
      <c r="C37" s="84">
        <f>B16*-E16</f>
        <v>0</v>
      </c>
      <c r="D37" s="85"/>
      <c r="E37" s="40"/>
      <c r="F37" s="5"/>
      <c r="G37" s="86"/>
      <c r="H37" s="2"/>
      <c r="I37" s="87"/>
      <c r="J37" s="5"/>
      <c r="K37" s="86"/>
      <c r="L37" s="79"/>
      <c r="M37" s="88"/>
      <c r="N37" s="5"/>
      <c r="O37" s="6"/>
      <c r="P37" s="70"/>
      <c r="Q37" s="70"/>
      <c r="R37" s="75"/>
      <c r="S37" s="93"/>
      <c r="T37" s="93"/>
      <c r="U37" s="27"/>
      <c r="V37" s="28"/>
      <c r="W37" s="28"/>
      <c r="X37" s="28"/>
      <c r="Y37" s="28"/>
    </row>
    <row r="38" spans="1:25">
      <c r="A38" s="94" t="s">
        <v>61</v>
      </c>
      <c r="B38" s="95" t="s">
        <v>62</v>
      </c>
      <c r="C38" s="96">
        <f>IF(B13&gt;0,U44*-1,0)</f>
        <v>-4</v>
      </c>
      <c r="D38" s="85"/>
      <c r="E38" s="40"/>
      <c r="F38" s="5"/>
      <c r="G38" s="34"/>
      <c r="H38" s="33"/>
      <c r="I38" s="49"/>
      <c r="J38" s="5"/>
      <c r="K38" s="34"/>
      <c r="L38" s="34"/>
      <c r="M38" s="49"/>
      <c r="N38" s="5"/>
      <c r="O38" s="6"/>
      <c r="P38" s="27"/>
      <c r="Q38" s="27"/>
      <c r="R38" s="27"/>
      <c r="S38" s="27"/>
      <c r="T38" s="27"/>
      <c r="U38" s="27"/>
      <c r="V38" s="28"/>
      <c r="W38" s="28"/>
      <c r="X38" s="28"/>
      <c r="Y38" s="28"/>
    </row>
    <row r="39" spans="1:25">
      <c r="A39" s="52" t="s">
        <v>63</v>
      </c>
      <c r="B39" s="97" t="s">
        <v>64</v>
      </c>
      <c r="C39" s="98">
        <f>C35+C36+C37+C38</f>
        <v>159.03762658959539</v>
      </c>
      <c r="D39" s="85"/>
      <c r="E39" s="47">
        <f>-C39</f>
        <v>-159.03762658959539</v>
      </c>
      <c r="F39" s="5"/>
      <c r="G39" s="34"/>
      <c r="H39" s="33"/>
      <c r="I39" s="99"/>
      <c r="J39" s="5"/>
      <c r="K39" s="34"/>
      <c r="L39" s="34"/>
      <c r="M39" s="99"/>
      <c r="N39" s="5"/>
      <c r="O39" s="6"/>
      <c r="P39" s="166" t="s">
        <v>65</v>
      </c>
      <c r="Q39" s="174"/>
      <c r="R39" s="166" t="s">
        <v>66</v>
      </c>
      <c r="S39" s="174"/>
      <c r="T39" s="100"/>
      <c r="U39" s="101" t="s">
        <v>67</v>
      </c>
      <c r="V39" s="28"/>
      <c r="W39" s="28"/>
      <c r="X39" s="28"/>
      <c r="Y39" s="28"/>
    </row>
    <row r="40" spans="1:25">
      <c r="A40" s="58" t="s">
        <v>68</v>
      </c>
      <c r="B40" s="2"/>
      <c r="C40" s="2"/>
      <c r="D40" s="39"/>
      <c r="E40" s="102">
        <f>C31</f>
        <v>-23.400000000000002</v>
      </c>
      <c r="F40" s="5"/>
      <c r="G40" s="34"/>
      <c r="H40" s="33"/>
      <c r="I40" s="49"/>
      <c r="J40" s="5"/>
      <c r="K40" s="34"/>
      <c r="L40" s="34"/>
      <c r="M40" s="49"/>
      <c r="N40" s="5"/>
      <c r="O40" s="6"/>
      <c r="R40" s="103">
        <v>0</v>
      </c>
      <c r="S40" s="104">
        <v>0</v>
      </c>
      <c r="V40" s="28"/>
      <c r="W40" s="28"/>
      <c r="X40" s="28"/>
      <c r="Y40" s="28"/>
    </row>
    <row r="41" spans="1:25">
      <c r="A41" s="58" t="s">
        <v>69</v>
      </c>
      <c r="B41" s="37"/>
      <c r="C41" s="39"/>
      <c r="D41" s="39"/>
      <c r="E41" s="40">
        <f>C32</f>
        <v>-13.8</v>
      </c>
      <c r="F41" s="5"/>
      <c r="G41" s="34"/>
      <c r="H41" s="33"/>
      <c r="I41" s="49"/>
      <c r="J41" s="5"/>
      <c r="K41" s="34"/>
      <c r="L41" s="34"/>
      <c r="M41" s="49"/>
      <c r="N41" s="5"/>
      <c r="O41" s="6"/>
      <c r="P41" s="105">
        <v>0</v>
      </c>
      <c r="Q41" s="106">
        <v>0</v>
      </c>
      <c r="R41" s="105">
        <v>2</v>
      </c>
      <c r="S41" s="107">
        <v>31</v>
      </c>
      <c r="T41" s="100" t="s">
        <v>70</v>
      </c>
      <c r="U41" s="108">
        <f>B13</f>
        <v>24</v>
      </c>
      <c r="V41" s="28"/>
      <c r="W41" s="28"/>
      <c r="X41" s="28"/>
      <c r="Y41" s="28"/>
    </row>
    <row r="42" spans="1:25">
      <c r="A42" s="58" t="s">
        <v>71</v>
      </c>
      <c r="B42" s="37"/>
      <c r="C42" s="39"/>
      <c r="D42" s="39"/>
      <c r="E42" s="40">
        <f>-B17</f>
        <v>0</v>
      </c>
      <c r="F42" s="5"/>
      <c r="G42" s="34"/>
      <c r="H42" s="33"/>
      <c r="I42" s="49"/>
      <c r="J42" s="5"/>
      <c r="K42" s="34"/>
      <c r="L42" s="34"/>
      <c r="M42" s="49"/>
      <c r="N42" s="5"/>
      <c r="O42" s="6"/>
      <c r="P42" s="105">
        <v>20</v>
      </c>
      <c r="Q42" s="106">
        <v>58</v>
      </c>
      <c r="R42" s="105">
        <v>20</v>
      </c>
      <c r="S42" s="107">
        <v>123</v>
      </c>
      <c r="T42" s="100" t="s">
        <v>72</v>
      </c>
      <c r="U42" s="109">
        <v>2</v>
      </c>
      <c r="V42" s="28"/>
      <c r="W42" s="28"/>
      <c r="X42" s="28"/>
      <c r="Y42" s="28"/>
    </row>
    <row r="43" spans="1:25">
      <c r="A43" s="110" t="s">
        <v>73</v>
      </c>
      <c r="B43" s="44"/>
      <c r="C43" s="95"/>
      <c r="D43" s="95"/>
      <c r="E43" s="111">
        <f>-B18</f>
        <v>0</v>
      </c>
      <c r="F43" s="5"/>
      <c r="G43" s="34"/>
      <c r="H43" s="33"/>
      <c r="I43" s="49"/>
      <c r="J43" s="5"/>
      <c r="K43" s="34"/>
      <c r="L43" s="34"/>
      <c r="M43" s="49"/>
      <c r="N43" s="5"/>
      <c r="O43" s="6"/>
      <c r="P43" s="105">
        <v>40</v>
      </c>
      <c r="Q43" s="106">
        <v>113</v>
      </c>
      <c r="R43" s="105">
        <v>40</v>
      </c>
      <c r="S43" s="107">
        <v>214</v>
      </c>
      <c r="T43" s="100" t="s">
        <v>74</v>
      </c>
      <c r="U43" s="109">
        <f>U41*U42</f>
        <v>48</v>
      </c>
      <c r="V43" s="28"/>
      <c r="W43" s="28"/>
      <c r="X43" s="28"/>
      <c r="Y43" s="28"/>
    </row>
    <row r="44" spans="1:25">
      <c r="A44" s="112" t="s">
        <v>75</v>
      </c>
      <c r="B44" s="44"/>
      <c r="C44" s="95"/>
      <c r="D44" s="95"/>
      <c r="E44" s="113">
        <f>SUM(E25:E43)</f>
        <v>2086.6257953757222</v>
      </c>
      <c r="F44" s="5"/>
      <c r="G44" s="114" t="s">
        <v>76</v>
      </c>
      <c r="H44" s="115"/>
      <c r="I44" s="116">
        <f>I21+I25+I35</f>
        <v>1861.3282799999999</v>
      </c>
      <c r="J44" s="5"/>
      <c r="K44" s="114" t="s">
        <v>76</v>
      </c>
      <c r="L44" s="117"/>
      <c r="M44" s="116">
        <f>M21+M25+M35</f>
        <v>1824.1282799999999</v>
      </c>
      <c r="N44" s="5"/>
      <c r="O44" s="6"/>
      <c r="P44" s="118">
        <v>60</v>
      </c>
      <c r="Q44" s="119">
        <v>168</v>
      </c>
      <c r="R44" s="118">
        <v>60</v>
      </c>
      <c r="S44" s="120">
        <v>306</v>
      </c>
      <c r="T44" s="100" t="s">
        <v>77</v>
      </c>
      <c r="U44" s="121">
        <f>ROUND(U43/12,2)</f>
        <v>4</v>
      </c>
      <c r="V44" s="28"/>
      <c r="W44" s="28"/>
      <c r="X44" s="28"/>
      <c r="Y44" s="28"/>
    </row>
    <row r="45" spans="1:25">
      <c r="A45" s="6"/>
      <c r="B45" s="6"/>
      <c r="C45" s="5"/>
      <c r="D45" s="5"/>
      <c r="E45" s="5"/>
      <c r="F45" s="5"/>
      <c r="G45" s="122" t="s">
        <v>78</v>
      </c>
      <c r="H45" s="123"/>
      <c r="I45" s="124">
        <f>I44+E44</f>
        <v>3947.9540753757219</v>
      </c>
      <c r="J45" s="18"/>
      <c r="K45" s="125" t="s">
        <v>78</v>
      </c>
      <c r="L45" s="122"/>
      <c r="M45" s="124">
        <f>M44+E44</f>
        <v>3910.7540753757221</v>
      </c>
      <c r="N45" s="5"/>
      <c r="O45" s="6"/>
      <c r="P45" s="27"/>
      <c r="Q45" s="27"/>
      <c r="R45" s="27"/>
      <c r="S45" s="27"/>
      <c r="T45" s="27"/>
      <c r="U45" s="27"/>
      <c r="V45" s="28"/>
      <c r="W45" s="28"/>
      <c r="X45" s="28"/>
      <c r="Y45" s="28"/>
    </row>
    <row r="46" spans="1:25">
      <c r="A46" s="6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  <c r="P46" s="175" t="s">
        <v>79</v>
      </c>
      <c r="Q46" s="176"/>
      <c r="R46" s="176"/>
      <c r="S46" s="176"/>
      <c r="T46" s="176"/>
      <c r="U46" s="176"/>
      <c r="V46" s="176"/>
      <c r="W46" s="176"/>
      <c r="X46" s="176"/>
      <c r="Y46" s="177"/>
    </row>
    <row r="47" spans="1:25" ht="26">
      <c r="A47" s="126" t="s">
        <v>80</v>
      </c>
      <c r="B47" s="127" t="s">
        <v>81</v>
      </c>
      <c r="C47" s="128" t="s">
        <v>82</v>
      </c>
      <c r="D47" s="128" t="s">
        <v>83</v>
      </c>
      <c r="E47" s="128" t="s">
        <v>84</v>
      </c>
      <c r="F47" s="2"/>
      <c r="G47" s="5"/>
      <c r="H47" s="5"/>
      <c r="I47" s="5"/>
      <c r="J47" s="5"/>
      <c r="K47" s="5"/>
      <c r="L47" s="5"/>
      <c r="M47" s="5"/>
      <c r="N47" s="5"/>
      <c r="O47" s="6"/>
      <c r="P47" s="178" t="s">
        <v>85</v>
      </c>
      <c r="Q47" s="179"/>
      <c r="R47" s="180"/>
      <c r="S47" s="181" t="s">
        <v>86</v>
      </c>
      <c r="T47" s="129" t="s">
        <v>87</v>
      </c>
      <c r="U47" s="183" t="s">
        <v>88</v>
      </c>
      <c r="V47" s="184"/>
      <c r="W47" s="184"/>
      <c r="X47" s="184"/>
      <c r="Y47" s="185"/>
    </row>
    <row r="48" spans="1:25">
      <c r="A48" s="127" t="s">
        <v>89</v>
      </c>
      <c r="B48" s="130">
        <v>3.9E-2</v>
      </c>
      <c r="C48" s="128">
        <f>E21</f>
        <v>2340</v>
      </c>
      <c r="D48" s="131">
        <f>B48*C48</f>
        <v>91.26</v>
      </c>
      <c r="E48" s="128" t="s">
        <v>90</v>
      </c>
      <c r="F48" s="2"/>
      <c r="G48" s="5"/>
      <c r="H48" s="5"/>
      <c r="I48" s="5"/>
      <c r="J48" s="5"/>
      <c r="K48" s="5"/>
      <c r="L48" s="5"/>
      <c r="M48" s="5"/>
      <c r="N48" s="5"/>
      <c r="P48" s="132"/>
      <c r="Q48" s="132"/>
      <c r="R48" s="132" t="s">
        <v>83</v>
      </c>
      <c r="S48" s="182"/>
      <c r="T48" s="133" t="s">
        <v>91</v>
      </c>
      <c r="U48" s="134">
        <v>1</v>
      </c>
      <c r="V48" s="134">
        <v>2</v>
      </c>
      <c r="W48" s="134">
        <v>3</v>
      </c>
      <c r="X48" s="134">
        <v>4</v>
      </c>
      <c r="Y48" s="134">
        <v>5</v>
      </c>
    </row>
    <row r="49" spans="1:25">
      <c r="A49" s="127" t="s">
        <v>92</v>
      </c>
      <c r="B49" s="130">
        <v>3.5999999999999999E-3</v>
      </c>
      <c r="C49" s="128">
        <f>E21</f>
        <v>2340</v>
      </c>
      <c r="D49" s="131">
        <f>B49*C49</f>
        <v>8.4239999999999995</v>
      </c>
      <c r="E49" s="128" t="s">
        <v>90</v>
      </c>
      <c r="F49" s="2">
        <v>2850</v>
      </c>
      <c r="G49" s="5">
        <v>9.69</v>
      </c>
      <c r="H49" s="135">
        <f>G49/F49</f>
        <v>3.3999999999999998E-3</v>
      </c>
      <c r="I49" s="5"/>
      <c r="J49" s="5"/>
      <c r="K49" s="5"/>
      <c r="L49" s="5"/>
      <c r="M49" s="5"/>
      <c r="N49" s="5">
        <f>412.18+33.33</f>
        <v>445.51</v>
      </c>
      <c r="P49" s="136"/>
      <c r="Q49" s="137" t="s">
        <v>51</v>
      </c>
      <c r="R49" s="138">
        <v>0</v>
      </c>
      <c r="S49" s="139">
        <v>0</v>
      </c>
      <c r="T49" s="140">
        <v>0</v>
      </c>
      <c r="U49" s="141">
        <v>0</v>
      </c>
      <c r="V49" s="141">
        <v>0</v>
      </c>
      <c r="W49" s="141">
        <v>0</v>
      </c>
      <c r="X49" s="141">
        <v>0</v>
      </c>
      <c r="Y49" s="141">
        <v>0</v>
      </c>
    </row>
    <row r="50" spans="1:25">
      <c r="A50" s="127" t="s">
        <v>93</v>
      </c>
      <c r="B50" s="142">
        <v>0.03</v>
      </c>
      <c r="C50" s="128">
        <f>E21</f>
        <v>2340</v>
      </c>
      <c r="D50" s="131">
        <f>B50*C50</f>
        <v>70.2</v>
      </c>
      <c r="E50" s="128" t="s">
        <v>94</v>
      </c>
      <c r="F50" s="2"/>
      <c r="G50" s="5"/>
      <c r="H50" s="5"/>
      <c r="I50" s="5"/>
      <c r="J50" s="5"/>
      <c r="K50" s="5"/>
      <c r="L50" s="5"/>
      <c r="M50" s="5"/>
      <c r="N50" s="5"/>
      <c r="O50" s="6"/>
      <c r="P50" s="137"/>
      <c r="Q50" s="137" t="s">
        <v>51</v>
      </c>
      <c r="R50" s="137">
        <v>1079.01</v>
      </c>
      <c r="S50" s="139">
        <v>0.2</v>
      </c>
      <c r="T50" s="143">
        <v>254.38</v>
      </c>
      <c r="U50" s="144">
        <v>302.05</v>
      </c>
      <c r="V50" s="144">
        <v>318.88</v>
      </c>
      <c r="W50" s="144">
        <v>340.13</v>
      </c>
      <c r="X50" s="144">
        <v>361.28</v>
      </c>
      <c r="Y50" s="144">
        <v>382.62</v>
      </c>
    </row>
    <row r="51" spans="1:25">
      <c r="A51" s="127" t="s">
        <v>95</v>
      </c>
      <c r="B51" s="145">
        <v>2</v>
      </c>
      <c r="C51" s="146">
        <v>5</v>
      </c>
      <c r="D51" s="131">
        <f>B51*C51</f>
        <v>10</v>
      </c>
      <c r="E51" s="128" t="s">
        <v>94</v>
      </c>
      <c r="F51" s="2"/>
      <c r="G51" s="5"/>
      <c r="H51" s="5"/>
      <c r="I51" s="5"/>
      <c r="J51" s="5"/>
      <c r="K51" s="5"/>
      <c r="L51" s="5"/>
      <c r="M51" s="5"/>
      <c r="N51" s="5"/>
      <c r="O51" s="6"/>
      <c r="P51" s="137"/>
      <c r="Q51" s="137" t="s">
        <v>51</v>
      </c>
      <c r="R51" s="137">
        <v>1745.84</v>
      </c>
      <c r="S51" s="139">
        <v>0.3</v>
      </c>
      <c r="T51" s="143">
        <v>428.96</v>
      </c>
      <c r="U51" s="144">
        <v>476.63</v>
      </c>
      <c r="V51" s="144">
        <v>493.46</v>
      </c>
      <c r="W51" s="144">
        <v>514.71</v>
      </c>
      <c r="X51" s="144">
        <v>535.96</v>
      </c>
      <c r="Y51" s="144">
        <v>557.21</v>
      </c>
    </row>
    <row r="52" spans="1:25">
      <c r="A52" s="127" t="s">
        <v>96</v>
      </c>
      <c r="B52" s="147">
        <v>0.20979999999999999</v>
      </c>
      <c r="C52" s="128">
        <f>E21</f>
        <v>2340</v>
      </c>
      <c r="D52" s="131">
        <f>B52*C52</f>
        <v>490.93199999999996</v>
      </c>
      <c r="E52" s="128" t="s">
        <v>97</v>
      </c>
      <c r="F52" s="2"/>
      <c r="H52" s="5"/>
      <c r="I52" s="5"/>
      <c r="J52" s="5"/>
      <c r="K52" s="5"/>
      <c r="L52" s="5"/>
      <c r="M52" s="5"/>
      <c r="N52" s="5"/>
      <c r="P52" s="148"/>
      <c r="Q52" s="137" t="s">
        <v>51</v>
      </c>
      <c r="R52" s="137">
        <v>2887.09</v>
      </c>
      <c r="S52" s="139">
        <v>0.41</v>
      </c>
      <c r="T52" s="143">
        <v>717.67</v>
      </c>
      <c r="U52" s="144">
        <v>765.17</v>
      </c>
      <c r="V52" s="144">
        <v>782.17</v>
      </c>
      <c r="W52" s="144">
        <v>803.42</v>
      </c>
      <c r="X52" s="144">
        <v>824.67</v>
      </c>
      <c r="Y52" s="144">
        <v>845.92</v>
      </c>
    </row>
    <row r="53" spans="1:25">
      <c r="A53" s="2"/>
      <c r="B53" s="2"/>
      <c r="C53" s="2"/>
      <c r="D53" s="2"/>
      <c r="E53" s="2"/>
      <c r="F53" s="2"/>
      <c r="G53">
        <v>679.36</v>
      </c>
      <c r="H53" s="5">
        <v>3200</v>
      </c>
      <c r="I53" s="135">
        <f>G53/H53</f>
        <v>0.21230000000000002</v>
      </c>
      <c r="J53" s="5"/>
      <c r="K53" s="5"/>
      <c r="L53" s="5"/>
      <c r="M53" s="5"/>
      <c r="N53" s="5"/>
      <c r="P53" s="148"/>
      <c r="Q53" s="137" t="s">
        <v>51</v>
      </c>
      <c r="R53" s="137">
        <v>5562.01</v>
      </c>
      <c r="S53" s="139">
        <v>0.48</v>
      </c>
      <c r="T53" s="143">
        <v>1162.6300000000001</v>
      </c>
      <c r="U53" s="144">
        <v>1210.3</v>
      </c>
      <c r="V53" s="144">
        <v>1227.1300000000001</v>
      </c>
      <c r="W53" s="144">
        <v>1248.3800000000001</v>
      </c>
      <c r="X53" s="144">
        <v>1269.6300000000001</v>
      </c>
      <c r="Y53" s="144">
        <v>1290.8800000000001</v>
      </c>
    </row>
    <row r="54" spans="1:25">
      <c r="A54" s="2"/>
      <c r="B54" s="97" t="s">
        <v>98</v>
      </c>
      <c r="C54" s="2"/>
      <c r="D54" s="2"/>
      <c r="E54" s="2"/>
      <c r="F54" s="2"/>
      <c r="G54" s="149" t="s">
        <v>99</v>
      </c>
      <c r="H54" s="5"/>
      <c r="I54" s="5"/>
      <c r="J54" s="5"/>
      <c r="K54" s="150" t="s">
        <v>100</v>
      </c>
      <c r="L54" s="5"/>
      <c r="M54" s="5"/>
      <c r="N54" s="5"/>
      <c r="P54" s="148"/>
      <c r="Q54" s="137" t="s">
        <v>51</v>
      </c>
      <c r="R54" s="137">
        <v>8283.18</v>
      </c>
      <c r="S54" s="139">
        <v>0.5</v>
      </c>
      <c r="T54" s="143">
        <v>1328.3</v>
      </c>
      <c r="U54" s="144">
        <v>1375.97</v>
      </c>
      <c r="V54" s="144">
        <v>1392.8</v>
      </c>
      <c r="W54" s="144">
        <v>1414.05</v>
      </c>
      <c r="X54" s="144">
        <v>1435.3</v>
      </c>
      <c r="Y54" s="144">
        <v>1456.55</v>
      </c>
    </row>
    <row r="55" spans="1:25">
      <c r="B55" s="151" t="s">
        <v>101</v>
      </c>
      <c r="C55" s="152">
        <f>E25</f>
        <v>2786.3583815028901</v>
      </c>
      <c r="D55" s="151"/>
      <c r="E55" s="5"/>
      <c r="F55" s="5"/>
      <c r="G55" s="151" t="s">
        <v>102</v>
      </c>
      <c r="H55" s="152">
        <f>I21</f>
        <v>2340</v>
      </c>
      <c r="I55" s="151"/>
      <c r="J55" s="5"/>
      <c r="K55" s="151" t="s">
        <v>102</v>
      </c>
      <c r="L55" s="152">
        <f>M21</f>
        <v>2340</v>
      </c>
      <c r="M55" s="151"/>
      <c r="N55" s="5"/>
      <c r="P55" s="148"/>
      <c r="Q55" s="137" t="s">
        <v>51</v>
      </c>
      <c r="R55" s="137">
        <v>83344.34</v>
      </c>
      <c r="S55" s="139">
        <v>0.55000000000000004</v>
      </c>
      <c r="T55" s="143">
        <v>5495.51</v>
      </c>
      <c r="U55" s="144">
        <v>5543.18</v>
      </c>
      <c r="V55" s="144">
        <v>5560.01</v>
      </c>
      <c r="W55" s="144">
        <v>5581.26</v>
      </c>
      <c r="X55" s="144">
        <v>5602.51</v>
      </c>
      <c r="Y55" s="144">
        <v>5623.76</v>
      </c>
    </row>
    <row r="56" spans="1:25">
      <c r="A56" s="2"/>
      <c r="B56" s="151" t="s">
        <v>103</v>
      </c>
      <c r="C56" s="151"/>
      <c r="D56" s="152">
        <f>E26*-1</f>
        <v>503.49495953757224</v>
      </c>
      <c r="E56" s="5"/>
      <c r="F56" s="5"/>
      <c r="G56" s="151" t="s">
        <v>104</v>
      </c>
      <c r="H56" s="151"/>
      <c r="I56" s="152">
        <f>I25*-1</f>
        <v>399.43799999999999</v>
      </c>
      <c r="J56" s="5" t="s">
        <v>4</v>
      </c>
      <c r="K56" s="151" t="s">
        <v>104</v>
      </c>
      <c r="L56" s="151"/>
      <c r="M56" s="152">
        <f>M25*-1</f>
        <v>399.43799999999999</v>
      </c>
      <c r="N56" s="5"/>
    </row>
    <row r="57" spans="1:25">
      <c r="A57" s="2"/>
      <c r="B57" s="151" t="s">
        <v>105</v>
      </c>
      <c r="C57" s="151"/>
      <c r="D57" s="152">
        <f>E39*-1</f>
        <v>159.03762658959539</v>
      </c>
      <c r="E57" s="5"/>
      <c r="F57" s="5"/>
      <c r="G57" s="151" t="s">
        <v>106</v>
      </c>
      <c r="H57" s="151"/>
      <c r="I57" s="152">
        <f>I35*-1</f>
        <v>79.233719999999991</v>
      </c>
      <c r="J57" s="5"/>
      <c r="K57" s="151" t="s">
        <v>106</v>
      </c>
      <c r="L57" s="151"/>
      <c r="M57" s="152">
        <f>M35*-1</f>
        <v>116.43371999999999</v>
      </c>
      <c r="N57" s="5"/>
    </row>
    <row r="58" spans="1:25">
      <c r="A58" s="2"/>
      <c r="B58" s="151" t="s">
        <v>107</v>
      </c>
      <c r="C58" s="151"/>
      <c r="D58" s="152">
        <f>E40*-1</f>
        <v>23.400000000000002</v>
      </c>
      <c r="E58" s="5"/>
      <c r="F58" s="5"/>
      <c r="G58" s="153"/>
      <c r="H58" s="153"/>
      <c r="I58" s="153"/>
      <c r="J58" s="5"/>
      <c r="K58" s="153"/>
      <c r="L58" s="153"/>
      <c r="M58" s="153"/>
      <c r="N58" s="5"/>
    </row>
    <row r="59" spans="1:25">
      <c r="A59" s="2"/>
      <c r="B59" s="151" t="s">
        <v>107</v>
      </c>
      <c r="C59" s="151"/>
      <c r="D59" s="152">
        <f>E41*-1</f>
        <v>13.8</v>
      </c>
      <c r="E59" s="5"/>
      <c r="F59" s="5"/>
      <c r="G59" s="153" t="s">
        <v>108</v>
      </c>
      <c r="H59" s="153"/>
      <c r="I59" s="153"/>
      <c r="J59" s="5"/>
      <c r="K59" s="153" t="s">
        <v>108</v>
      </c>
      <c r="L59" s="153"/>
      <c r="M59" s="153"/>
      <c r="N59" s="5"/>
      <c r="O59" s="6"/>
    </row>
    <row r="60" spans="1:25">
      <c r="A60" s="2"/>
      <c r="B60" s="151" t="s">
        <v>109</v>
      </c>
      <c r="C60" s="151"/>
      <c r="D60" s="152">
        <f>E44</f>
        <v>2086.6257953757222</v>
      </c>
      <c r="E60" s="5"/>
      <c r="F60" s="5"/>
      <c r="G60" s="151" t="s">
        <v>110</v>
      </c>
      <c r="H60" s="151"/>
      <c r="I60" s="152">
        <f>I44</f>
        <v>1861.3282799999999</v>
      </c>
      <c r="J60" s="5"/>
      <c r="K60" s="151" t="s">
        <v>110</v>
      </c>
      <c r="L60" s="151"/>
      <c r="M60" s="152">
        <f>M44</f>
        <v>1824.1282799999999</v>
      </c>
      <c r="N60" s="5"/>
      <c r="O60" s="1" t="s">
        <v>111</v>
      </c>
      <c r="P60" s="35"/>
      <c r="R60" s="35"/>
      <c r="S60" s="35"/>
      <c r="T60" s="35"/>
    </row>
    <row r="61" spans="1:25">
      <c r="A61" s="2"/>
      <c r="B61" s="2"/>
      <c r="C61" s="2"/>
      <c r="D61" s="2"/>
      <c r="E61" s="2"/>
      <c r="F61" s="2"/>
      <c r="H61" s="5"/>
      <c r="I61" s="5"/>
      <c r="J61" s="5"/>
      <c r="K61" s="5"/>
      <c r="L61" s="5"/>
      <c r="M61" s="5"/>
      <c r="N61" s="5"/>
      <c r="O61" s="6" t="s">
        <v>112</v>
      </c>
      <c r="P61" t="s">
        <v>113</v>
      </c>
    </row>
    <row r="62" spans="1:25">
      <c r="A62" s="2"/>
      <c r="B62" s="151" t="s">
        <v>114</v>
      </c>
      <c r="C62" s="154">
        <f>D52</f>
        <v>490.93199999999996</v>
      </c>
      <c r="D62" s="151"/>
      <c r="E62" s="2"/>
      <c r="F62" s="2"/>
      <c r="H62" s="5"/>
      <c r="I62" s="5"/>
      <c r="J62" s="5"/>
      <c r="K62" s="5" t="s">
        <v>4</v>
      </c>
      <c r="L62" s="5"/>
      <c r="M62" s="5"/>
      <c r="N62" s="5"/>
      <c r="O62" t="s">
        <v>115</v>
      </c>
      <c r="P62" t="s">
        <v>116</v>
      </c>
    </row>
    <row r="63" spans="1:25">
      <c r="A63" s="2"/>
      <c r="B63" s="151" t="s">
        <v>117</v>
      </c>
      <c r="C63" s="151"/>
      <c r="D63" s="154">
        <f>D52</f>
        <v>490.93199999999996</v>
      </c>
      <c r="E63" s="2"/>
      <c r="F63" s="2"/>
      <c r="H63" s="5"/>
      <c r="I63" s="5"/>
      <c r="J63" s="5"/>
      <c r="K63" s="5"/>
      <c r="L63" s="5"/>
      <c r="M63" s="5"/>
      <c r="N63" s="5"/>
      <c r="O63" t="s">
        <v>118</v>
      </c>
      <c r="P63" t="s">
        <v>119</v>
      </c>
    </row>
    <row r="64" spans="1:25">
      <c r="B64" s="2"/>
      <c r="C64" s="2"/>
      <c r="D64" s="2"/>
      <c r="H64" s="5"/>
      <c r="I64" s="5"/>
      <c r="J64" s="5"/>
      <c r="K64" s="5"/>
      <c r="L64" s="5"/>
      <c r="M64" s="5"/>
      <c r="N64" s="5"/>
      <c r="O64" t="s">
        <v>120</v>
      </c>
      <c r="P64" t="s">
        <v>121</v>
      </c>
    </row>
    <row r="65" spans="2:19">
      <c r="B65" s="151" t="s">
        <v>122</v>
      </c>
      <c r="C65" s="154">
        <f>D48</f>
        <v>91.26</v>
      </c>
      <c r="D65" s="151"/>
      <c r="H65" s="5"/>
      <c r="I65" s="5"/>
      <c r="J65" s="5"/>
      <c r="K65" s="5"/>
      <c r="L65" s="5"/>
      <c r="M65" s="5"/>
      <c r="N65" s="5"/>
      <c r="O65" t="s">
        <v>123</v>
      </c>
      <c r="P65" t="s">
        <v>113</v>
      </c>
    </row>
    <row r="66" spans="2:19">
      <c r="B66" s="151" t="s">
        <v>124</v>
      </c>
      <c r="C66" s="154">
        <f>D49</f>
        <v>8.4239999999999995</v>
      </c>
      <c r="D66" s="151"/>
      <c r="H66" s="5"/>
      <c r="I66" s="5"/>
      <c r="J66" s="5"/>
      <c r="K66" s="5"/>
      <c r="L66" s="5"/>
      <c r="M66" s="5"/>
      <c r="N66" s="5"/>
      <c r="O66" t="s">
        <v>125</v>
      </c>
      <c r="P66" t="s">
        <v>126</v>
      </c>
    </row>
    <row r="67" spans="2:19">
      <c r="B67" s="151" t="s">
        <v>106</v>
      </c>
      <c r="C67" s="151"/>
      <c r="D67" s="155">
        <f>C65+C66</f>
        <v>99.683999999999997</v>
      </c>
      <c r="H67" s="5"/>
      <c r="I67" s="5"/>
      <c r="J67" s="5"/>
      <c r="K67" s="5"/>
      <c r="L67" s="5"/>
      <c r="M67" s="5"/>
      <c r="N67" s="5"/>
      <c r="O67" t="s">
        <v>86</v>
      </c>
      <c r="P67" t="s">
        <v>113</v>
      </c>
    </row>
    <row r="68" spans="2:19">
      <c r="B68" s="2"/>
      <c r="C68" s="2"/>
      <c r="D68" s="2"/>
      <c r="H68" s="5"/>
      <c r="I68" s="5"/>
      <c r="J68" s="5"/>
      <c r="K68" s="5"/>
      <c r="L68" s="5"/>
      <c r="M68" s="5"/>
      <c r="N68" s="5"/>
      <c r="O68" t="s">
        <v>127</v>
      </c>
      <c r="P68" t="s">
        <v>121</v>
      </c>
    </row>
    <row r="69" spans="2:19">
      <c r="B69" s="151" t="s">
        <v>128</v>
      </c>
      <c r="C69" s="154">
        <f>D50</f>
        <v>70.2</v>
      </c>
      <c r="D69" s="151"/>
      <c r="H69" s="5"/>
      <c r="I69" s="5"/>
      <c r="J69" s="5"/>
      <c r="K69" s="5"/>
      <c r="L69" s="5"/>
      <c r="M69" s="5"/>
      <c r="N69" s="5"/>
      <c r="O69" t="s">
        <v>129</v>
      </c>
      <c r="P69" t="s">
        <v>121</v>
      </c>
    </row>
    <row r="70" spans="2:19">
      <c r="B70" s="151" t="s">
        <v>130</v>
      </c>
      <c r="C70" s="154">
        <f>D51</f>
        <v>10</v>
      </c>
      <c r="D70" s="151"/>
      <c r="H70" s="5"/>
      <c r="I70" s="5"/>
      <c r="J70" s="5"/>
      <c r="K70" s="5"/>
      <c r="L70" s="5"/>
      <c r="M70" s="5"/>
      <c r="N70" s="5"/>
    </row>
    <row r="71" spans="2:19">
      <c r="B71" s="151" t="s">
        <v>131</v>
      </c>
      <c r="C71" s="151"/>
      <c r="D71" s="155">
        <f>C69+C70</f>
        <v>80.2</v>
      </c>
      <c r="H71" s="5"/>
      <c r="I71" s="5"/>
      <c r="J71" s="5"/>
      <c r="K71" s="5"/>
      <c r="L71" s="5"/>
      <c r="M71" s="5"/>
      <c r="N71" s="5"/>
      <c r="P71" s="27" t="s">
        <v>132</v>
      </c>
      <c r="Q71" s="27"/>
      <c r="R71" s="27"/>
      <c r="S71" s="27"/>
    </row>
    <row r="72" spans="2:19">
      <c r="H72" s="5"/>
      <c r="I72" s="5"/>
      <c r="J72" s="5"/>
      <c r="K72" s="5"/>
      <c r="L72" s="5"/>
      <c r="M72" s="5"/>
      <c r="N72" s="5"/>
      <c r="P72" s="166" t="s">
        <v>133</v>
      </c>
      <c r="Q72" s="167"/>
      <c r="R72" s="167"/>
      <c r="S72" s="64" t="s">
        <v>134</v>
      </c>
    </row>
    <row r="73" spans="2:19">
      <c r="H73" s="5"/>
      <c r="I73" s="5"/>
      <c r="J73" s="5"/>
      <c r="K73" s="5"/>
      <c r="L73" s="5"/>
      <c r="M73" s="5"/>
      <c r="N73" s="5"/>
      <c r="P73" s="168" t="s">
        <v>135</v>
      </c>
      <c r="Q73" s="169"/>
      <c r="R73" s="36">
        <v>0</v>
      </c>
      <c r="S73" s="156">
        <v>0</v>
      </c>
    </row>
    <row r="74" spans="2:19">
      <c r="H74" s="5"/>
      <c r="I74" s="5"/>
      <c r="J74" s="5"/>
      <c r="K74" s="5"/>
      <c r="L74" s="5"/>
      <c r="M74" s="5"/>
      <c r="N74" s="5"/>
      <c r="P74" s="170" t="s">
        <v>51</v>
      </c>
      <c r="Q74" s="171"/>
      <c r="R74" s="157">
        <v>620</v>
      </c>
      <c r="S74" s="72">
        <v>0.06</v>
      </c>
    </row>
    <row r="75" spans="2:19">
      <c r="H75" s="5"/>
      <c r="I75" s="5"/>
      <c r="J75" s="5"/>
      <c r="K75" s="5"/>
      <c r="L75" s="5"/>
      <c r="M75" s="5"/>
      <c r="N75" s="5"/>
      <c r="P75" s="170" t="s">
        <v>51</v>
      </c>
      <c r="Q75" s="171"/>
      <c r="R75" s="158">
        <v>25000</v>
      </c>
      <c r="S75" s="159">
        <v>0.27</v>
      </c>
    </row>
    <row r="76" spans="2:19">
      <c r="H76" s="5"/>
      <c r="I76" s="5"/>
      <c r="J76" s="5"/>
      <c r="K76" s="5"/>
      <c r="L76" s="5"/>
      <c r="M76" s="5"/>
      <c r="N76" s="5"/>
      <c r="P76" s="170" t="s">
        <v>51</v>
      </c>
      <c r="Q76" s="171"/>
      <c r="R76" s="158">
        <f>R75+25000</f>
        <v>50000</v>
      </c>
      <c r="S76" s="159">
        <v>0.35749999999999998</v>
      </c>
    </row>
    <row r="77" spans="2:19">
      <c r="H77" s="5"/>
      <c r="I77" s="5"/>
      <c r="J77" s="5"/>
      <c r="K77" s="5"/>
      <c r="L77" s="5"/>
      <c r="M77" s="5"/>
      <c r="N77" s="5"/>
      <c r="P77" s="170" t="s">
        <v>51</v>
      </c>
      <c r="Q77" s="171"/>
      <c r="R77" s="158">
        <f>R76+33333</f>
        <v>83333</v>
      </c>
      <c r="S77" s="159">
        <v>0.5</v>
      </c>
    </row>
    <row r="78" spans="2:19">
      <c r="H78" s="5"/>
      <c r="I78" s="5"/>
      <c r="J78" s="5"/>
      <c r="K78" s="5"/>
      <c r="L78" s="5"/>
      <c r="M78" s="5"/>
      <c r="N78" s="5"/>
      <c r="P78" s="164"/>
      <c r="Q78" s="165"/>
      <c r="R78" s="160"/>
      <c r="S78" s="161"/>
    </row>
    <row r="79" spans="2:19">
      <c r="H79" s="5"/>
      <c r="I79" s="5"/>
      <c r="J79" s="5"/>
      <c r="K79" s="5"/>
      <c r="L79" s="5"/>
      <c r="M79" s="5"/>
      <c r="N79" s="5"/>
    </row>
    <row r="80" spans="2:19">
      <c r="H80" s="5"/>
      <c r="I80" s="5"/>
      <c r="J80" s="5"/>
      <c r="K80" s="5"/>
      <c r="L80" s="5"/>
      <c r="M80" s="5"/>
      <c r="N80" s="5"/>
    </row>
    <row r="81" spans="8:14">
      <c r="H81" s="5"/>
      <c r="I81" s="5"/>
      <c r="J81" s="5"/>
      <c r="K81" s="5"/>
      <c r="L81" s="5"/>
      <c r="M81" s="5"/>
      <c r="N81" s="5"/>
    </row>
  </sheetData>
  <mergeCells count="14">
    <mergeCell ref="L20:M20"/>
    <mergeCell ref="P39:Q39"/>
    <mergeCell ref="R39:S39"/>
    <mergeCell ref="P46:Y46"/>
    <mergeCell ref="P47:R47"/>
    <mergeCell ref="S47:S48"/>
    <mergeCell ref="U47:Y47"/>
    <mergeCell ref="P78:Q78"/>
    <mergeCell ref="P72:R72"/>
    <mergeCell ref="P73:Q73"/>
    <mergeCell ref="P74:Q74"/>
    <mergeCell ref="P75:Q75"/>
    <mergeCell ref="P76:Q76"/>
    <mergeCell ref="P77:Q77"/>
  </mergeCells>
  <pageMargins left="0.7" right="0.7" top="0.78740157499999996" bottom="0.78740157499999996" header="0.3" footer="0.3"/>
  <pageSetup paperSize="9" scale="47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EBD85-59AB-6D49-B09E-7E4F6B8FEFBB}">
  <dimension ref="A4:Y81"/>
  <sheetViews>
    <sheetView tabSelected="1" topLeftCell="A9" workbookViewId="0">
      <selection activeCell="C37" sqref="C37"/>
    </sheetView>
  </sheetViews>
  <sheetFormatPr baseColWidth="10" defaultRowHeight="16"/>
  <cols>
    <col min="2" max="2" width="24.33203125" customWidth="1"/>
  </cols>
  <sheetData>
    <row r="4" spans="1:25">
      <c r="A4" s="2"/>
      <c r="B4" s="2"/>
      <c r="C4" s="2"/>
      <c r="D4" s="2"/>
      <c r="E4" s="2"/>
      <c r="F4" s="2"/>
    </row>
    <row r="5" spans="1:25">
      <c r="A5" s="2"/>
      <c r="B5" s="2"/>
      <c r="C5" s="2"/>
      <c r="D5" s="2"/>
      <c r="E5" s="2"/>
      <c r="F5" s="2"/>
    </row>
    <row r="6" spans="1:25">
      <c r="A6" s="2" t="s">
        <v>1</v>
      </c>
      <c r="B6" s="1" t="s">
        <v>147</v>
      </c>
      <c r="C6" s="2" t="s">
        <v>2</v>
      </c>
      <c r="D6" s="2"/>
      <c r="E6" s="2"/>
      <c r="F6" s="2"/>
    </row>
    <row r="7" spans="1:25">
      <c r="A7" s="3" t="s">
        <v>3</v>
      </c>
      <c r="B7" s="4">
        <v>3440</v>
      </c>
      <c r="C7" s="5"/>
      <c r="D7" s="5"/>
      <c r="E7" s="5" t="s">
        <v>4</v>
      </c>
      <c r="F7" s="5"/>
      <c r="G7" s="5"/>
      <c r="H7" s="5"/>
      <c r="I7" s="5"/>
      <c r="J7" s="5"/>
      <c r="K7" s="5"/>
      <c r="L7" s="5"/>
      <c r="M7" s="5"/>
      <c r="N7" s="5"/>
      <c r="O7" s="6"/>
      <c r="P7" s="7"/>
      <c r="Q7" s="7"/>
      <c r="R7" s="7"/>
      <c r="S7" s="7"/>
      <c r="T7" s="7"/>
      <c r="U7" s="7"/>
      <c r="V7" s="8"/>
      <c r="W7" s="8"/>
      <c r="X7" s="8"/>
      <c r="Y7" s="8"/>
    </row>
    <row r="8" spans="1:25">
      <c r="A8" s="3" t="s">
        <v>5</v>
      </c>
      <c r="B8" s="9">
        <v>165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7"/>
      <c r="Q8" s="7"/>
      <c r="R8" s="7"/>
      <c r="S8" s="7"/>
      <c r="T8" s="7"/>
      <c r="U8" s="7"/>
      <c r="V8" s="8"/>
      <c r="W8" s="8"/>
      <c r="X8" s="8"/>
      <c r="Y8" s="8"/>
    </row>
    <row r="9" spans="1:25">
      <c r="A9" s="3" t="s">
        <v>6</v>
      </c>
      <c r="B9" s="10">
        <v>7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7"/>
      <c r="Q9" s="7"/>
      <c r="R9" s="7"/>
      <c r="S9" s="7"/>
      <c r="T9" s="7"/>
      <c r="U9" s="7"/>
      <c r="V9" s="8"/>
      <c r="W9" s="8"/>
      <c r="X9" s="8"/>
      <c r="Y9" s="8"/>
    </row>
    <row r="10" spans="1:25">
      <c r="A10" s="3" t="s">
        <v>7</v>
      </c>
      <c r="B10" s="10">
        <v>11</v>
      </c>
      <c r="C10" s="11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7"/>
      <c r="Q10" s="7"/>
      <c r="R10" s="7"/>
      <c r="S10" s="7"/>
      <c r="T10" s="7"/>
      <c r="U10" s="7"/>
      <c r="V10" s="8"/>
      <c r="W10" s="8"/>
      <c r="X10" s="8"/>
      <c r="Y10" s="8"/>
    </row>
    <row r="11" spans="1:25">
      <c r="A11" s="3" t="s">
        <v>8</v>
      </c>
      <c r="B11" s="4">
        <v>56</v>
      </c>
      <c r="C11" s="5" t="s">
        <v>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7"/>
      <c r="Q11" s="7"/>
      <c r="R11" s="7"/>
      <c r="S11" s="7"/>
      <c r="T11" s="7"/>
      <c r="U11" s="7"/>
      <c r="V11" s="8"/>
      <c r="W11" s="8"/>
      <c r="X11" s="8"/>
      <c r="Y11" s="8"/>
    </row>
    <row r="12" spans="1:25">
      <c r="A12" s="3" t="s">
        <v>10</v>
      </c>
      <c r="B12" s="12" t="s">
        <v>138</v>
      </c>
      <c r="C12" s="5" t="s">
        <v>12</v>
      </c>
      <c r="D12" s="13" t="s">
        <v>11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7"/>
      <c r="Q12" s="7"/>
      <c r="R12" s="7"/>
      <c r="S12" s="7"/>
      <c r="T12" s="7"/>
      <c r="U12" s="7"/>
      <c r="V12" s="8"/>
      <c r="W12" s="8"/>
      <c r="X12" s="8"/>
      <c r="Y12" s="8"/>
    </row>
    <row r="13" spans="1:25">
      <c r="A13" s="3" t="s">
        <v>13</v>
      </c>
      <c r="B13" s="12">
        <v>50</v>
      </c>
      <c r="C13" s="5" t="s">
        <v>14</v>
      </c>
      <c r="D13" s="13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7"/>
      <c r="Q13" s="7"/>
      <c r="R13" s="7"/>
      <c r="S13" s="7"/>
      <c r="T13" s="7"/>
      <c r="U13" s="7"/>
      <c r="V13" s="8"/>
      <c r="W13" s="8"/>
      <c r="X13" s="8"/>
      <c r="Y13" s="8"/>
    </row>
    <row r="14" spans="1:25">
      <c r="A14" s="3" t="s">
        <v>15</v>
      </c>
      <c r="B14" s="14" t="s">
        <v>137</v>
      </c>
      <c r="C14" s="5" t="s">
        <v>141</v>
      </c>
      <c r="D14" s="5" t="s">
        <v>16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7"/>
      <c r="Q14" s="7"/>
      <c r="R14" s="7"/>
      <c r="S14" s="7"/>
      <c r="T14" s="7"/>
      <c r="U14" s="7"/>
      <c r="V14" s="8"/>
      <c r="W14" s="8"/>
      <c r="X14" s="8"/>
      <c r="Y14" s="8"/>
    </row>
    <row r="15" spans="1:25">
      <c r="A15" s="3" t="s">
        <v>17</v>
      </c>
      <c r="B15" s="4">
        <v>13.8</v>
      </c>
      <c r="C15" s="5" t="s">
        <v>140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 t="s">
        <v>4</v>
      </c>
      <c r="P15" s="7"/>
      <c r="Q15" s="7">
        <f>E21*14</f>
        <v>48160</v>
      </c>
      <c r="R15" s="7"/>
      <c r="S15" s="7"/>
      <c r="T15" s="7"/>
      <c r="U15" s="7"/>
      <c r="V15" s="8"/>
      <c r="W15" s="8"/>
      <c r="X15" s="8"/>
      <c r="Y15" s="8"/>
    </row>
    <row r="16" spans="1:25">
      <c r="A16" s="3" t="s">
        <v>18</v>
      </c>
      <c r="B16" s="15">
        <v>3</v>
      </c>
      <c r="C16" s="5" t="s">
        <v>19</v>
      </c>
      <c r="D16" s="5"/>
      <c r="E16" s="5">
        <f>166.68*0.5</f>
        <v>83.34</v>
      </c>
      <c r="F16" s="5" t="s">
        <v>20</v>
      </c>
      <c r="G16" s="5"/>
      <c r="H16" s="5"/>
      <c r="I16" s="5"/>
      <c r="J16" s="5"/>
      <c r="K16" s="5"/>
      <c r="L16" s="5"/>
      <c r="M16" s="5"/>
      <c r="N16" s="5"/>
      <c r="O16" s="6"/>
      <c r="U16" s="7"/>
      <c r="V16" s="8"/>
      <c r="W16" s="8"/>
      <c r="X16" s="8"/>
      <c r="Y16" s="8"/>
    </row>
    <row r="17" spans="1:25">
      <c r="A17" s="3" t="s">
        <v>21</v>
      </c>
      <c r="B17" s="4">
        <v>5.5</v>
      </c>
      <c r="C17" s="5" t="s">
        <v>22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U17" s="7"/>
      <c r="V17" s="8"/>
      <c r="W17" s="8"/>
      <c r="X17" s="8"/>
      <c r="Y17" s="8"/>
    </row>
    <row r="18" spans="1:25">
      <c r="A18" s="3" t="s">
        <v>23</v>
      </c>
      <c r="B18" s="4">
        <v>200</v>
      </c>
      <c r="C18" s="5" t="s">
        <v>24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U18" s="7"/>
      <c r="V18" s="8"/>
      <c r="W18" s="8"/>
      <c r="X18" s="8"/>
      <c r="Y18" s="8"/>
    </row>
    <row r="19" spans="1:25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16" t="s">
        <v>25</v>
      </c>
      <c r="Q19" s="17">
        <f>B8</f>
        <v>165</v>
      </c>
      <c r="R19" s="18"/>
      <c r="S19" s="18"/>
      <c r="T19" s="18"/>
      <c r="U19" s="7"/>
      <c r="V19" s="8"/>
      <c r="W19" s="8"/>
      <c r="X19" s="8"/>
      <c r="Y19" s="8"/>
    </row>
    <row r="20" spans="1:25">
      <c r="A20" s="19" t="s">
        <v>148</v>
      </c>
      <c r="B20" s="20"/>
      <c r="C20" s="20"/>
      <c r="D20" s="20"/>
      <c r="E20" s="21"/>
      <c r="F20" s="5"/>
      <c r="G20" s="22" t="s">
        <v>27</v>
      </c>
      <c r="H20" s="23"/>
      <c r="I20" s="24"/>
      <c r="J20" s="18"/>
      <c r="K20" s="22" t="s">
        <v>28</v>
      </c>
      <c r="L20" s="172" t="s">
        <v>29</v>
      </c>
      <c r="M20" s="173"/>
      <c r="N20" s="5"/>
      <c r="O20" s="6"/>
      <c r="P20" s="25" t="s">
        <v>30</v>
      </c>
      <c r="Q20" s="26">
        <f>ROUND(E21/Q19,3)</f>
        <v>20.847999999999999</v>
      </c>
      <c r="R20" s="18"/>
      <c r="S20" s="18"/>
      <c r="T20" s="18"/>
      <c r="U20" s="27"/>
      <c r="V20" s="28"/>
      <c r="W20" s="28"/>
      <c r="X20" s="28"/>
      <c r="Y20" s="28"/>
    </row>
    <row r="21" spans="1:25">
      <c r="A21" s="29" t="s">
        <v>3</v>
      </c>
      <c r="B21" s="30"/>
      <c r="C21" s="31"/>
      <c r="D21" s="31"/>
      <c r="E21" s="32">
        <f>B7</f>
        <v>3440</v>
      </c>
      <c r="F21" s="5"/>
      <c r="G21" s="29" t="s">
        <v>3</v>
      </c>
      <c r="H21" s="33"/>
      <c r="I21" s="32">
        <f>E21</f>
        <v>3440</v>
      </c>
      <c r="J21" s="5"/>
      <c r="K21" s="29" t="s">
        <v>3</v>
      </c>
      <c r="L21" s="34"/>
      <c r="M21" s="32">
        <f>I21</f>
        <v>3440</v>
      </c>
      <c r="N21" s="5"/>
      <c r="O21" s="6"/>
      <c r="P21" s="35"/>
      <c r="Q21" s="35"/>
      <c r="R21" s="18"/>
      <c r="S21" s="18"/>
      <c r="T21" s="18"/>
      <c r="U21" s="27"/>
      <c r="V21" s="36"/>
      <c r="W21" s="36"/>
      <c r="X21" s="36"/>
      <c r="Y21" s="36"/>
    </row>
    <row r="22" spans="1:25">
      <c r="A22" s="37" t="s">
        <v>149</v>
      </c>
      <c r="B22" s="37"/>
      <c r="C22" s="38"/>
      <c r="D22" s="39"/>
      <c r="E22" s="40">
        <f>IF(B8&gt;0,(B7/B8)*(B9+B10),0)</f>
        <v>375.27272727272725</v>
      </c>
      <c r="F22" s="5"/>
      <c r="G22" s="34"/>
      <c r="H22" s="33"/>
      <c r="I22" s="41"/>
      <c r="J22" s="5"/>
      <c r="K22" s="34"/>
      <c r="L22" s="34"/>
      <c r="M22" s="41"/>
      <c r="N22" s="5"/>
      <c r="O22" s="6"/>
      <c r="P22" s="25" t="s">
        <v>31</v>
      </c>
      <c r="Q22" s="17">
        <f>B9</f>
        <v>7</v>
      </c>
      <c r="R22" s="42" t="s">
        <v>32</v>
      </c>
      <c r="S22" s="42"/>
      <c r="T22" s="43">
        <f>IF(Q22&lt;18,Q22,18)</f>
        <v>7</v>
      </c>
      <c r="U22" s="27"/>
      <c r="V22" s="36"/>
      <c r="W22" s="36"/>
      <c r="X22" s="36"/>
      <c r="Y22" s="36"/>
    </row>
    <row r="23" spans="1:25">
      <c r="A23" s="37" t="s">
        <v>150</v>
      </c>
      <c r="B23" s="37"/>
      <c r="C23" s="38"/>
      <c r="D23" s="39"/>
      <c r="E23" s="40">
        <f>IF(B8&gt;0,B7/B8/2*B9,0)</f>
        <v>72.969696969696969</v>
      </c>
      <c r="F23" s="5"/>
      <c r="G23" s="34"/>
      <c r="H23" s="33"/>
      <c r="I23" s="41"/>
      <c r="J23" s="5"/>
      <c r="K23" s="34"/>
      <c r="L23" s="34"/>
      <c r="M23" s="41"/>
      <c r="N23" s="5"/>
      <c r="O23" s="6"/>
      <c r="P23" s="25" t="s">
        <v>33</v>
      </c>
      <c r="Q23" s="17">
        <f>B10</f>
        <v>11</v>
      </c>
      <c r="R23" s="42" t="s">
        <v>32</v>
      </c>
      <c r="S23" s="42"/>
      <c r="T23" s="43">
        <f>Q23</f>
        <v>11</v>
      </c>
      <c r="U23" s="27"/>
      <c r="V23" s="36"/>
      <c r="W23" s="36"/>
      <c r="X23" s="36"/>
      <c r="Y23" s="36"/>
    </row>
    <row r="24" spans="1:25">
      <c r="A24" s="44" t="s">
        <v>151</v>
      </c>
      <c r="B24" s="44"/>
      <c r="C24" s="45"/>
      <c r="D24" s="45"/>
      <c r="E24" s="46">
        <f>IF(B8&gt;0,B7/B8*B10,0)</f>
        <v>229.33333333333331</v>
      </c>
      <c r="F24" s="5"/>
      <c r="G24" s="34"/>
      <c r="H24" s="33"/>
      <c r="I24" s="41"/>
      <c r="J24" s="5"/>
      <c r="K24" s="34"/>
      <c r="L24" s="34"/>
      <c r="M24" s="41"/>
      <c r="N24" s="5"/>
      <c r="O24" s="6"/>
      <c r="P24" s="25" t="s">
        <v>34</v>
      </c>
      <c r="Q24" s="26">
        <f>Q22+Q23</f>
        <v>18</v>
      </c>
      <c r="R24" s="18"/>
      <c r="S24" s="18"/>
      <c r="T24" s="18"/>
      <c r="U24" s="27"/>
      <c r="V24" s="36"/>
      <c r="W24" s="36"/>
      <c r="X24" s="36"/>
      <c r="Y24" s="36"/>
    </row>
    <row r="25" spans="1:25">
      <c r="A25" s="37" t="s">
        <v>35</v>
      </c>
      <c r="B25" s="37" t="s">
        <v>36</v>
      </c>
      <c r="C25" s="162">
        <f>IF(E25&gt;R36,R36,E25)</f>
        <v>4117.5757575757571</v>
      </c>
      <c r="D25" s="39"/>
      <c r="E25" s="47">
        <f>SUM(E21:E24)</f>
        <v>4117.5757575757571</v>
      </c>
      <c r="F25" s="5"/>
      <c r="G25" s="34" t="s">
        <v>37</v>
      </c>
      <c r="H25" s="48">
        <f>D26-1%</f>
        <v>0.17069999999999999</v>
      </c>
      <c r="I25" s="49">
        <f>I21*-H25</f>
        <v>-587.20799999999997</v>
      </c>
      <c r="J25" s="5"/>
      <c r="K25" s="34" t="s">
        <v>37</v>
      </c>
      <c r="L25" s="50">
        <f>H25</f>
        <v>0.17069999999999999</v>
      </c>
      <c r="M25" s="49">
        <f>M21*-L25</f>
        <v>-587.20799999999997</v>
      </c>
      <c r="N25" s="5"/>
      <c r="O25" s="6"/>
      <c r="P25" s="35"/>
      <c r="Q25" s="51"/>
      <c r="R25" s="18"/>
      <c r="S25" s="18"/>
      <c r="T25" s="18"/>
      <c r="U25" s="27"/>
      <c r="V25" s="36"/>
      <c r="W25" s="36"/>
      <c r="X25" s="36"/>
      <c r="Y25" s="36"/>
    </row>
    <row r="26" spans="1:25">
      <c r="A26" s="52" t="s">
        <v>38</v>
      </c>
      <c r="B26" s="37" t="s">
        <v>39</v>
      </c>
      <c r="C26" s="53">
        <f>E26</f>
        <v>-744.04593939393931</v>
      </c>
      <c r="D26" s="54">
        <f>S35</f>
        <v>0.1807</v>
      </c>
      <c r="E26" s="55">
        <f>-D26*C25</f>
        <v>-744.04593939393931</v>
      </c>
      <c r="F26" s="5"/>
      <c r="G26" s="34" t="s">
        <v>40</v>
      </c>
      <c r="H26" s="56">
        <f>I21</f>
        <v>3440</v>
      </c>
      <c r="I26" s="49"/>
      <c r="J26" s="5"/>
      <c r="K26" s="34" t="s">
        <v>40</v>
      </c>
      <c r="L26" s="57">
        <f>M21</f>
        <v>3440</v>
      </c>
      <c r="M26" s="49"/>
      <c r="N26" s="5"/>
      <c r="O26" s="6"/>
      <c r="T26" s="27"/>
      <c r="U26" s="27"/>
      <c r="V26" s="36"/>
      <c r="W26" s="36"/>
      <c r="X26" s="36"/>
      <c r="Y26" s="36"/>
    </row>
    <row r="27" spans="1:25">
      <c r="A27" s="58" t="s">
        <v>41</v>
      </c>
      <c r="B27" s="37" t="s">
        <v>146</v>
      </c>
      <c r="C27" s="59">
        <f>IF(B8&gt;0,IF(T22*Q20/2&gt;200,86,T22*Q20/2),0)*-1</f>
        <v>-72.967999999999989</v>
      </c>
      <c r="D27" s="39"/>
      <c r="E27" s="40"/>
      <c r="F27" s="5"/>
      <c r="G27" s="60" t="s">
        <v>42</v>
      </c>
      <c r="H27" s="56">
        <f>I25</f>
        <v>-587.20799999999997</v>
      </c>
      <c r="I27" s="49"/>
      <c r="J27" s="5"/>
      <c r="K27" s="60" t="s">
        <v>42</v>
      </c>
      <c r="L27" s="57">
        <f>M25</f>
        <v>-587.20799999999997</v>
      </c>
      <c r="M27" s="49"/>
      <c r="N27" s="5"/>
      <c r="O27" s="6"/>
      <c r="P27" s="27" t="s">
        <v>139</v>
      </c>
      <c r="Q27" s="27"/>
      <c r="R27" s="27"/>
      <c r="S27" s="27"/>
      <c r="T27" s="27"/>
      <c r="U27" s="27"/>
      <c r="V27" s="36"/>
      <c r="W27" s="36"/>
      <c r="X27" s="36"/>
      <c r="Y27" s="36"/>
    </row>
    <row r="28" spans="1:25">
      <c r="A28" s="58"/>
      <c r="B28" s="37" t="s">
        <v>145</v>
      </c>
      <c r="C28" s="59">
        <f>IF(B8&gt;0,IF(Q20*B10&gt;360,360,Q20*B10),0)*-1</f>
        <v>-229.32799999999997</v>
      </c>
      <c r="D28" s="39"/>
      <c r="E28" s="40"/>
      <c r="F28" s="5"/>
      <c r="G28" s="60"/>
      <c r="H28" s="61"/>
      <c r="I28" s="49"/>
      <c r="J28" s="5"/>
      <c r="K28" s="60"/>
      <c r="L28" s="57"/>
      <c r="M28" s="49"/>
      <c r="N28" s="5"/>
      <c r="O28" s="6"/>
      <c r="T28" s="27"/>
      <c r="U28" s="27"/>
      <c r="V28" s="36"/>
      <c r="W28" s="36"/>
      <c r="X28" s="36"/>
      <c r="Y28" s="36"/>
    </row>
    <row r="29" spans="1:25">
      <c r="A29" s="58"/>
      <c r="B29" s="37" t="s">
        <v>43</v>
      </c>
      <c r="C29" s="53">
        <f>-B11</f>
        <v>-56</v>
      </c>
      <c r="D29" s="39"/>
      <c r="E29" s="40"/>
      <c r="F29" s="5"/>
      <c r="G29" s="34"/>
      <c r="H29" s="56"/>
      <c r="I29" s="49"/>
      <c r="J29" s="5"/>
      <c r="K29" s="34"/>
      <c r="L29" s="57"/>
      <c r="M29" s="49"/>
      <c r="N29" s="5"/>
      <c r="O29" s="6"/>
      <c r="T29" s="27"/>
      <c r="U29" s="27"/>
      <c r="V29" s="36"/>
      <c r="W29" s="36"/>
      <c r="X29" s="36"/>
      <c r="Y29" s="36"/>
    </row>
    <row r="30" spans="1:25">
      <c r="A30" s="58"/>
      <c r="B30" s="37" t="s">
        <v>44</v>
      </c>
      <c r="C30" s="53">
        <f>IF(B12="klein",VLOOKUP(B13,P41:Q44,2,TRUE),IF(B12="groß",VLOOKUP(B13,R40:S44,2,TRUE),0))*-1</f>
        <v>-113</v>
      </c>
      <c r="D30" s="39"/>
      <c r="E30" s="40"/>
      <c r="F30" s="5"/>
      <c r="G30" s="60" t="s">
        <v>48</v>
      </c>
      <c r="H30" s="56">
        <v>-620</v>
      </c>
      <c r="I30" s="49"/>
      <c r="J30" s="5"/>
      <c r="K30" s="60" t="s">
        <v>48</v>
      </c>
      <c r="L30" s="57">
        <v>0</v>
      </c>
      <c r="M30" s="49"/>
      <c r="N30" s="5"/>
      <c r="O30" s="6"/>
      <c r="P30" s="62" t="s">
        <v>45</v>
      </c>
      <c r="Q30" s="63"/>
      <c r="R30" s="63"/>
      <c r="S30" s="64" t="s">
        <v>46</v>
      </c>
      <c r="T30" s="64"/>
      <c r="U30" s="27"/>
      <c r="V30" s="36"/>
      <c r="W30" s="36"/>
      <c r="X30" s="36"/>
      <c r="Y30" s="36"/>
    </row>
    <row r="31" spans="1:25">
      <c r="A31" s="58"/>
      <c r="B31" s="37" t="s">
        <v>47</v>
      </c>
      <c r="C31" s="53">
        <f>IF(B14="ja",IF(E21&lt;=3870,-E21*1%,-3870*1%),0)</f>
        <v>-34.4</v>
      </c>
      <c r="D31" s="39"/>
      <c r="E31" s="40"/>
      <c r="F31" s="5"/>
      <c r="H31" s="56"/>
      <c r="I31" s="49"/>
      <c r="J31" s="5"/>
      <c r="L31" s="57"/>
      <c r="M31" s="49"/>
      <c r="N31" s="5"/>
      <c r="O31" s="6"/>
      <c r="P31" s="65" t="s">
        <v>49</v>
      </c>
      <c r="Q31" s="66"/>
      <c r="R31" s="36">
        <v>0</v>
      </c>
      <c r="S31" s="67">
        <v>0</v>
      </c>
      <c r="T31" s="67"/>
      <c r="U31" s="27"/>
      <c r="V31" s="36"/>
      <c r="W31" s="36"/>
      <c r="X31" s="36"/>
      <c r="Y31" s="36"/>
    </row>
    <row r="32" spans="1:25">
      <c r="A32" s="58"/>
      <c r="B32" s="44" t="s">
        <v>50</v>
      </c>
      <c r="C32" s="68">
        <f>-B15</f>
        <v>-13.8</v>
      </c>
      <c r="D32" s="39"/>
      <c r="E32" s="40"/>
      <c r="F32" s="5"/>
      <c r="G32" s="34"/>
      <c r="H32" s="56"/>
      <c r="I32" s="49"/>
      <c r="J32" s="5"/>
      <c r="K32" s="34"/>
      <c r="L32" s="57"/>
      <c r="M32" s="49"/>
      <c r="N32" s="5"/>
      <c r="O32" s="6"/>
      <c r="P32" s="69" t="s">
        <v>51</v>
      </c>
      <c r="Q32" s="70"/>
      <c r="R32" s="71">
        <v>518.44000000000005</v>
      </c>
      <c r="S32" s="72">
        <v>0.1512</v>
      </c>
      <c r="T32" s="72"/>
      <c r="U32" s="27"/>
      <c r="V32" s="36"/>
      <c r="W32" s="36"/>
      <c r="X32" s="36"/>
      <c r="Y32" s="36"/>
    </row>
    <row r="33" spans="1:25" ht="18">
      <c r="A33" s="58"/>
      <c r="B33" s="73" t="s">
        <v>52</v>
      </c>
      <c r="C33" s="74">
        <f>SUM(C25:C32)</f>
        <v>2854.0338181818179</v>
      </c>
      <c r="D33" s="39"/>
      <c r="E33" s="40"/>
      <c r="F33" s="5"/>
      <c r="G33" s="34"/>
      <c r="H33" s="163"/>
      <c r="I33" s="49"/>
      <c r="J33" s="5"/>
      <c r="K33" s="34"/>
      <c r="L33" s="57"/>
      <c r="M33" s="49"/>
      <c r="N33" s="5"/>
      <c r="O33" s="6"/>
      <c r="P33" s="69" t="s">
        <v>51</v>
      </c>
      <c r="Q33" s="70"/>
      <c r="R33" s="75">
        <v>1951.01</v>
      </c>
      <c r="S33" s="72">
        <v>0.16120000000000001</v>
      </c>
      <c r="T33" s="72"/>
      <c r="U33" s="27"/>
      <c r="V33" s="36"/>
      <c r="W33" s="36"/>
      <c r="X33" s="36"/>
      <c r="Y33" s="36"/>
    </row>
    <row r="34" spans="1:25">
      <c r="A34" s="58"/>
      <c r="B34" s="37" t="s">
        <v>53</v>
      </c>
      <c r="C34" s="76">
        <f>VLOOKUP($C$33,$R$49:$S$52,2,TRUE)</f>
        <v>0.3</v>
      </c>
      <c r="D34" s="39"/>
      <c r="E34" s="40"/>
      <c r="F34" s="5"/>
      <c r="G34" s="34" t="s">
        <v>54</v>
      </c>
      <c r="H34" s="56">
        <f>H26+H27+H30</f>
        <v>2232.7919999999999</v>
      </c>
      <c r="I34" s="49"/>
      <c r="J34" s="5"/>
      <c r="K34" s="34" t="s">
        <v>54</v>
      </c>
      <c r="L34" s="57">
        <f>L26+L27+L30</f>
        <v>2852.7919999999999</v>
      </c>
      <c r="M34" s="49"/>
      <c r="N34" s="5"/>
      <c r="O34" s="6"/>
      <c r="P34" s="69" t="s">
        <v>51</v>
      </c>
      <c r="Q34" s="70"/>
      <c r="R34" s="75">
        <v>2128</v>
      </c>
      <c r="S34" s="72">
        <v>0.17119999999999999</v>
      </c>
      <c r="T34" s="72"/>
      <c r="U34" s="27"/>
      <c r="V34" s="36" t="s">
        <v>55</v>
      </c>
      <c r="W34" s="36"/>
      <c r="X34" s="36"/>
      <c r="Y34" s="36"/>
    </row>
    <row r="35" spans="1:25">
      <c r="A35" s="58"/>
      <c r="B35" s="77" t="s">
        <v>56</v>
      </c>
      <c r="C35" s="78">
        <f>C33*C34</f>
        <v>856.21014545454534</v>
      </c>
      <c r="D35" s="39" t="s">
        <v>4</v>
      </c>
      <c r="E35" s="40"/>
      <c r="F35" s="5"/>
      <c r="G35" s="79"/>
      <c r="H35" s="80">
        <v>0.06</v>
      </c>
      <c r="I35" s="49">
        <f>H34*-H35</f>
        <v>-133.96751999999998</v>
      </c>
      <c r="J35" s="5"/>
      <c r="K35" s="79"/>
      <c r="L35" s="81">
        <v>0.06</v>
      </c>
      <c r="M35" s="49">
        <f>L34*-L35</f>
        <v>-171.16752</v>
      </c>
      <c r="N35" s="5"/>
      <c r="O35" s="6"/>
      <c r="P35" s="69" t="s">
        <v>51</v>
      </c>
      <c r="Q35" s="70"/>
      <c r="R35" s="75">
        <v>2306</v>
      </c>
      <c r="S35" s="72">
        <v>0.1807</v>
      </c>
      <c r="T35" s="72"/>
      <c r="U35" s="27"/>
      <c r="V35" s="28"/>
      <c r="W35" s="28"/>
      <c r="X35" s="28"/>
      <c r="Y35" s="28"/>
    </row>
    <row r="36" spans="1:25">
      <c r="A36" s="82" t="s">
        <v>57</v>
      </c>
      <c r="B36" s="83" t="s">
        <v>58</v>
      </c>
      <c r="C36" s="84">
        <f>-W51</f>
        <v>-514.71</v>
      </c>
      <c r="D36" s="85"/>
      <c r="E36" s="40"/>
      <c r="F36" s="5"/>
      <c r="G36" s="86"/>
      <c r="H36" s="2"/>
      <c r="I36" s="87"/>
      <c r="J36" s="5"/>
      <c r="K36" s="86"/>
      <c r="L36" s="79"/>
      <c r="M36" s="88"/>
      <c r="N36" s="5"/>
      <c r="O36" s="6"/>
      <c r="P36" s="89" t="s">
        <v>59</v>
      </c>
      <c r="Q36" s="90"/>
      <c r="R36" s="91">
        <v>6060</v>
      </c>
      <c r="S36" s="92">
        <v>0.1812</v>
      </c>
      <c r="T36" s="92"/>
      <c r="U36" s="27"/>
      <c r="V36" s="28"/>
      <c r="W36" s="28"/>
      <c r="X36" s="28"/>
      <c r="Y36" s="28"/>
    </row>
    <row r="37" spans="1:25">
      <c r="A37" s="82"/>
      <c r="B37" s="83" t="s">
        <v>60</v>
      </c>
      <c r="C37" s="84">
        <f>B16*-E16</f>
        <v>-250.02</v>
      </c>
      <c r="D37" s="85"/>
      <c r="E37" s="40"/>
      <c r="F37" s="5"/>
      <c r="G37" s="86"/>
      <c r="H37" s="2"/>
      <c r="I37" s="87"/>
      <c r="J37" s="5"/>
      <c r="K37" s="86"/>
      <c r="L37" s="79"/>
      <c r="M37" s="88"/>
      <c r="N37" s="5"/>
      <c r="O37" s="6"/>
      <c r="P37" s="70"/>
      <c r="Q37" s="70"/>
      <c r="R37" s="75"/>
      <c r="S37" s="93"/>
      <c r="T37" s="93"/>
      <c r="U37" s="27"/>
      <c r="V37" s="28"/>
      <c r="W37" s="28"/>
      <c r="X37" s="28"/>
      <c r="Y37" s="28"/>
    </row>
    <row r="38" spans="1:25">
      <c r="A38" s="94" t="s">
        <v>61</v>
      </c>
      <c r="B38" s="95" t="s">
        <v>62</v>
      </c>
      <c r="C38" s="96">
        <f>IF(B13&gt;0,U44*-1,0)</f>
        <v>-8.33</v>
      </c>
      <c r="D38" s="85"/>
      <c r="E38" s="40"/>
      <c r="F38" s="5"/>
      <c r="G38" s="34"/>
      <c r="H38" s="33"/>
      <c r="I38" s="49"/>
      <c r="J38" s="5"/>
      <c r="K38" s="34"/>
      <c r="L38" s="34"/>
      <c r="M38" s="49"/>
      <c r="N38" s="5"/>
      <c r="O38" s="6"/>
      <c r="P38" s="27"/>
      <c r="Q38" s="27"/>
      <c r="R38" s="27"/>
      <c r="S38" s="27"/>
      <c r="T38" s="27"/>
      <c r="U38" s="27"/>
      <c r="V38" s="28"/>
      <c r="W38" s="28"/>
      <c r="X38" s="28"/>
      <c r="Y38" s="28"/>
    </row>
    <row r="39" spans="1:25">
      <c r="A39" s="52" t="s">
        <v>63</v>
      </c>
      <c r="B39" s="97" t="s">
        <v>64</v>
      </c>
      <c r="C39" s="98">
        <f>C35+C36+C37+C38</f>
        <v>83.150145454545296</v>
      </c>
      <c r="D39" s="85"/>
      <c r="E39" s="47">
        <f>-C39</f>
        <v>-83.150145454545296</v>
      </c>
      <c r="F39" s="5"/>
      <c r="G39" s="34"/>
      <c r="H39" s="33"/>
      <c r="I39" s="99"/>
      <c r="J39" s="5"/>
      <c r="K39" s="34"/>
      <c r="L39" s="34"/>
      <c r="M39" s="99"/>
      <c r="N39" s="5"/>
      <c r="O39" s="6"/>
      <c r="P39" s="166" t="s">
        <v>65</v>
      </c>
      <c r="Q39" s="174"/>
      <c r="R39" s="166" t="s">
        <v>66</v>
      </c>
      <c r="S39" s="174"/>
      <c r="T39" s="100"/>
      <c r="U39" s="101" t="s">
        <v>67</v>
      </c>
      <c r="V39" s="28"/>
      <c r="W39" s="28"/>
      <c r="X39" s="28"/>
      <c r="Y39" s="28"/>
    </row>
    <row r="40" spans="1:25">
      <c r="A40" s="58" t="s">
        <v>68</v>
      </c>
      <c r="B40" s="2"/>
      <c r="C40" s="2"/>
      <c r="D40" s="39"/>
      <c r="E40" s="102">
        <f>C31</f>
        <v>-34.4</v>
      </c>
      <c r="F40" s="5"/>
      <c r="G40" s="34"/>
      <c r="H40" s="33"/>
      <c r="I40" s="49"/>
      <c r="J40" s="5"/>
      <c r="K40" s="34"/>
      <c r="L40" s="34"/>
      <c r="M40" s="49"/>
      <c r="N40" s="5"/>
      <c r="O40" s="6"/>
      <c r="R40" s="103">
        <v>0</v>
      </c>
      <c r="S40" s="104">
        <v>0</v>
      </c>
      <c r="V40" s="28"/>
      <c r="W40" s="28"/>
      <c r="X40" s="28"/>
      <c r="Y40" s="28"/>
    </row>
    <row r="41" spans="1:25">
      <c r="A41" s="58" t="s">
        <v>69</v>
      </c>
      <c r="B41" s="37"/>
      <c r="C41" s="39"/>
      <c r="D41" s="39"/>
      <c r="E41" s="40">
        <f>C32</f>
        <v>-13.8</v>
      </c>
      <c r="F41" s="5"/>
      <c r="G41" s="34"/>
      <c r="H41" s="33"/>
      <c r="I41" s="49"/>
      <c r="J41" s="5"/>
      <c r="K41" s="34"/>
      <c r="L41" s="34"/>
      <c r="M41" s="49"/>
      <c r="N41" s="5"/>
      <c r="O41" s="6"/>
      <c r="P41" s="105">
        <v>0</v>
      </c>
      <c r="Q41" s="106">
        <v>0</v>
      </c>
      <c r="R41" s="105">
        <v>2</v>
      </c>
      <c r="S41" s="107">
        <v>31</v>
      </c>
      <c r="T41" s="100" t="s">
        <v>70</v>
      </c>
      <c r="U41" s="108">
        <f>B13</f>
        <v>50</v>
      </c>
      <c r="V41" s="28"/>
      <c r="W41" s="28"/>
      <c r="X41" s="28"/>
      <c r="Y41" s="28"/>
    </row>
    <row r="42" spans="1:25">
      <c r="A42" s="58" t="s">
        <v>71</v>
      </c>
      <c r="B42" s="37"/>
      <c r="C42" s="39"/>
      <c r="D42" s="39"/>
      <c r="E42" s="40">
        <f>-B17</f>
        <v>-5.5</v>
      </c>
      <c r="F42" s="5"/>
      <c r="G42" s="34"/>
      <c r="H42" s="33"/>
      <c r="I42" s="49"/>
      <c r="J42" s="5"/>
      <c r="K42" s="34"/>
      <c r="L42" s="34"/>
      <c r="M42" s="49"/>
      <c r="N42" s="5"/>
      <c r="O42" s="6"/>
      <c r="P42" s="105">
        <v>20</v>
      </c>
      <c r="Q42" s="106">
        <v>58</v>
      </c>
      <c r="R42" s="105">
        <v>20</v>
      </c>
      <c r="S42" s="107">
        <v>123</v>
      </c>
      <c r="T42" s="100" t="s">
        <v>72</v>
      </c>
      <c r="U42" s="109">
        <v>2</v>
      </c>
      <c r="V42" s="28"/>
      <c r="W42" s="28"/>
      <c r="X42" s="28"/>
      <c r="Y42" s="28"/>
    </row>
    <row r="43" spans="1:25">
      <c r="A43" s="110" t="s">
        <v>73</v>
      </c>
      <c r="B43" s="44"/>
      <c r="C43" s="95"/>
      <c r="D43" s="95"/>
      <c r="E43" s="111">
        <f>-B18</f>
        <v>-200</v>
      </c>
      <c r="F43" s="5"/>
      <c r="G43" s="34"/>
      <c r="H43" s="33"/>
      <c r="I43" s="49"/>
      <c r="J43" s="5"/>
      <c r="K43" s="34"/>
      <c r="L43" s="34"/>
      <c r="M43" s="49"/>
      <c r="N43" s="5"/>
      <c r="O43" s="6"/>
      <c r="P43" s="105">
        <v>40</v>
      </c>
      <c r="Q43" s="106">
        <v>113</v>
      </c>
      <c r="R43" s="105">
        <v>40</v>
      </c>
      <c r="S43" s="107">
        <v>214</v>
      </c>
      <c r="T43" s="100" t="s">
        <v>74</v>
      </c>
      <c r="U43" s="109">
        <f>U41*U42</f>
        <v>100</v>
      </c>
      <c r="V43" s="28"/>
      <c r="W43" s="28"/>
      <c r="X43" s="28"/>
      <c r="Y43" s="28"/>
    </row>
    <row r="44" spans="1:25">
      <c r="A44" s="112" t="s">
        <v>75</v>
      </c>
      <c r="B44" s="44"/>
      <c r="C44" s="95"/>
      <c r="D44" s="95"/>
      <c r="E44" s="113">
        <f>SUM(E25:E43)</f>
        <v>3036.6796727272722</v>
      </c>
      <c r="F44" s="5"/>
      <c r="G44" s="114" t="s">
        <v>76</v>
      </c>
      <c r="H44" s="115"/>
      <c r="I44" s="116">
        <f>I21+I25+I35</f>
        <v>2718.8244799999998</v>
      </c>
      <c r="J44" s="5"/>
      <c r="K44" s="114" t="s">
        <v>76</v>
      </c>
      <c r="L44" s="117"/>
      <c r="M44" s="116">
        <f>M21+M25+M35</f>
        <v>2681.6244799999999</v>
      </c>
      <c r="N44" s="5"/>
      <c r="O44" s="6"/>
      <c r="P44" s="118">
        <v>60</v>
      </c>
      <c r="Q44" s="119">
        <v>168</v>
      </c>
      <c r="R44" s="118">
        <v>60</v>
      </c>
      <c r="S44" s="120">
        <v>306</v>
      </c>
      <c r="T44" s="100" t="s">
        <v>77</v>
      </c>
      <c r="U44" s="121">
        <f>ROUND(U43/12,2)</f>
        <v>8.33</v>
      </c>
      <c r="V44" s="28"/>
      <c r="W44" s="28"/>
      <c r="X44" s="28"/>
      <c r="Y44" s="28"/>
    </row>
    <row r="45" spans="1:25">
      <c r="A45" s="6"/>
      <c r="B45" s="6"/>
      <c r="C45" s="5"/>
      <c r="D45" s="5"/>
      <c r="E45" s="5"/>
      <c r="F45" s="5"/>
      <c r="G45" s="122" t="s">
        <v>78</v>
      </c>
      <c r="H45" s="123"/>
      <c r="I45" s="124">
        <f>I44+E44</f>
        <v>5755.5041527272715</v>
      </c>
      <c r="J45" s="18"/>
      <c r="K45" s="125" t="s">
        <v>78</v>
      </c>
      <c r="L45" s="122"/>
      <c r="M45" s="124">
        <f>M44+E44</f>
        <v>5718.3041527272726</v>
      </c>
      <c r="N45" s="5"/>
      <c r="O45" s="6"/>
      <c r="P45" s="27"/>
      <c r="Q45" s="27"/>
      <c r="R45" s="27"/>
      <c r="S45" s="27"/>
      <c r="T45" s="27"/>
      <c r="U45" s="27"/>
      <c r="V45" s="28"/>
      <c r="W45" s="28"/>
      <c r="X45" s="28"/>
      <c r="Y45" s="28"/>
    </row>
    <row r="46" spans="1:25">
      <c r="A46" s="6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  <c r="P46" s="175" t="s">
        <v>79</v>
      </c>
      <c r="Q46" s="176"/>
      <c r="R46" s="176"/>
      <c r="S46" s="176"/>
      <c r="T46" s="176"/>
      <c r="U46" s="176"/>
      <c r="V46" s="176"/>
      <c r="W46" s="176"/>
      <c r="X46" s="176"/>
      <c r="Y46" s="177"/>
    </row>
    <row r="47" spans="1:25" ht="26">
      <c r="A47" s="126" t="s">
        <v>80</v>
      </c>
      <c r="B47" s="127" t="s">
        <v>81</v>
      </c>
      <c r="C47" s="128" t="s">
        <v>82</v>
      </c>
      <c r="D47" s="128" t="s">
        <v>83</v>
      </c>
      <c r="E47" s="128" t="s">
        <v>84</v>
      </c>
      <c r="F47" s="2"/>
      <c r="G47" s="5"/>
      <c r="H47" s="5"/>
      <c r="I47" s="5"/>
      <c r="J47" s="5"/>
      <c r="K47" s="5"/>
      <c r="L47" s="5"/>
      <c r="M47" s="5"/>
      <c r="N47" s="5"/>
      <c r="O47" s="6"/>
      <c r="P47" s="178" t="s">
        <v>85</v>
      </c>
      <c r="Q47" s="179"/>
      <c r="R47" s="180"/>
      <c r="S47" s="181" t="s">
        <v>86</v>
      </c>
      <c r="T47" s="129" t="s">
        <v>87</v>
      </c>
      <c r="U47" s="183" t="s">
        <v>88</v>
      </c>
      <c r="V47" s="184"/>
      <c r="W47" s="184"/>
      <c r="X47" s="184"/>
      <c r="Y47" s="185"/>
    </row>
    <row r="48" spans="1:25">
      <c r="A48" s="127" t="s">
        <v>153</v>
      </c>
      <c r="B48" s="130">
        <v>3.9E-2</v>
      </c>
      <c r="C48" s="128">
        <f>E21</f>
        <v>3440</v>
      </c>
      <c r="D48" s="131">
        <f>B48*C48</f>
        <v>134.16</v>
      </c>
      <c r="E48" s="128" t="s">
        <v>90</v>
      </c>
      <c r="F48" s="2"/>
      <c r="G48" s="5"/>
      <c r="H48" s="5"/>
      <c r="I48" s="5"/>
      <c r="J48" s="5"/>
      <c r="K48" s="5"/>
      <c r="L48" s="5"/>
      <c r="M48" s="5"/>
      <c r="N48" s="5"/>
      <c r="P48" s="132"/>
      <c r="Q48" s="132"/>
      <c r="R48" s="132" t="s">
        <v>83</v>
      </c>
      <c r="S48" s="182"/>
      <c r="T48" s="133" t="s">
        <v>91</v>
      </c>
      <c r="U48" s="134">
        <v>1</v>
      </c>
      <c r="V48" s="134">
        <v>2</v>
      </c>
      <c r="W48" s="134">
        <v>3</v>
      </c>
      <c r="X48" s="134">
        <v>4</v>
      </c>
      <c r="Y48" s="134">
        <v>5</v>
      </c>
    </row>
    <row r="49" spans="1:25">
      <c r="A49" s="127" t="s">
        <v>152</v>
      </c>
      <c r="B49" s="130">
        <v>3.5999999999999999E-3</v>
      </c>
      <c r="C49" s="128">
        <f>E21</f>
        <v>3440</v>
      </c>
      <c r="D49" s="131">
        <f>B49*C49</f>
        <v>12.384</v>
      </c>
      <c r="E49" s="128" t="s">
        <v>90</v>
      </c>
      <c r="F49" s="2">
        <v>2850</v>
      </c>
      <c r="G49" s="5">
        <v>9.69</v>
      </c>
      <c r="H49" s="135">
        <f>G49/F49</f>
        <v>3.3999999999999998E-3</v>
      </c>
      <c r="I49" s="5"/>
      <c r="J49" s="5"/>
      <c r="K49" s="5"/>
      <c r="L49" s="5"/>
      <c r="M49" s="5"/>
      <c r="N49" s="5">
        <f>412.18+33.33</f>
        <v>445.51</v>
      </c>
      <c r="P49" s="136"/>
      <c r="Q49" s="137" t="s">
        <v>51</v>
      </c>
      <c r="R49" s="138">
        <v>0</v>
      </c>
      <c r="S49" s="139">
        <v>0</v>
      </c>
      <c r="T49" s="140">
        <v>0</v>
      </c>
      <c r="U49" s="141">
        <v>0</v>
      </c>
      <c r="V49" s="141">
        <v>0</v>
      </c>
      <c r="W49" s="141">
        <v>0</v>
      </c>
      <c r="X49" s="141">
        <v>0</v>
      </c>
      <c r="Y49" s="141">
        <v>0</v>
      </c>
    </row>
    <row r="50" spans="1:25">
      <c r="A50" s="127" t="s">
        <v>93</v>
      </c>
      <c r="B50" s="142">
        <v>0.03</v>
      </c>
      <c r="C50" s="128">
        <f>E21</f>
        <v>3440</v>
      </c>
      <c r="D50" s="131">
        <f>B50*C50</f>
        <v>103.2</v>
      </c>
      <c r="E50" s="128" t="s">
        <v>94</v>
      </c>
      <c r="F50" s="2"/>
      <c r="G50" s="5"/>
      <c r="H50" s="5"/>
      <c r="I50" s="5"/>
      <c r="J50" s="5"/>
      <c r="K50" s="5"/>
      <c r="L50" s="5"/>
      <c r="M50" s="5"/>
      <c r="N50" s="5"/>
      <c r="O50" s="6"/>
      <c r="P50" s="137"/>
      <c r="Q50" s="137" t="s">
        <v>51</v>
      </c>
      <c r="R50" s="137">
        <v>1079.01</v>
      </c>
      <c r="S50" s="139">
        <v>0.2</v>
      </c>
      <c r="T50" s="143">
        <v>254.38</v>
      </c>
      <c r="U50" s="144">
        <v>302.05</v>
      </c>
      <c r="V50" s="144">
        <v>318.88</v>
      </c>
      <c r="W50" s="144">
        <v>340.13</v>
      </c>
      <c r="X50" s="144">
        <v>361.28</v>
      </c>
      <c r="Y50" s="144">
        <v>382.62</v>
      </c>
    </row>
    <row r="51" spans="1:25">
      <c r="A51" s="127" t="s">
        <v>95</v>
      </c>
      <c r="B51" s="145">
        <v>2</v>
      </c>
      <c r="C51" s="146">
        <v>5</v>
      </c>
      <c r="D51" s="131">
        <f>B51*C51</f>
        <v>10</v>
      </c>
      <c r="E51" s="128" t="s">
        <v>94</v>
      </c>
      <c r="F51" s="2"/>
      <c r="G51" s="5"/>
      <c r="H51" s="5"/>
      <c r="I51" s="5"/>
      <c r="J51" s="5"/>
      <c r="K51" s="5"/>
      <c r="L51" s="5"/>
      <c r="M51" s="5"/>
      <c r="N51" s="5"/>
      <c r="O51" s="6"/>
      <c r="P51" s="137"/>
      <c r="Q51" s="137" t="s">
        <v>51</v>
      </c>
      <c r="R51" s="137">
        <v>1745.84</v>
      </c>
      <c r="S51" s="139">
        <v>0.3</v>
      </c>
      <c r="T51" s="143">
        <v>428.96</v>
      </c>
      <c r="U51" s="144">
        <v>476.63</v>
      </c>
      <c r="V51" s="144">
        <v>493.46</v>
      </c>
      <c r="W51" s="144">
        <v>514.71</v>
      </c>
      <c r="X51" s="144">
        <v>535.96</v>
      </c>
      <c r="Y51" s="144">
        <v>557.21</v>
      </c>
    </row>
    <row r="52" spans="1:25">
      <c r="A52" s="127" t="s">
        <v>96</v>
      </c>
      <c r="B52" s="147">
        <v>0.20979999999999999</v>
      </c>
      <c r="C52" s="128">
        <f>E21</f>
        <v>3440</v>
      </c>
      <c r="D52" s="131">
        <f>B52*C52</f>
        <v>721.71199999999999</v>
      </c>
      <c r="E52" s="128" t="s">
        <v>97</v>
      </c>
      <c r="F52" s="2"/>
      <c r="H52" s="5"/>
      <c r="I52" s="5"/>
      <c r="J52" s="5"/>
      <c r="K52" s="5"/>
      <c r="L52" s="5"/>
      <c r="M52" s="5"/>
      <c r="N52" s="5"/>
      <c r="P52" s="148"/>
      <c r="Q52" s="137" t="s">
        <v>51</v>
      </c>
      <c r="R52" s="137">
        <v>2887.09</v>
      </c>
      <c r="S52" s="139">
        <v>0.41</v>
      </c>
      <c r="T52" s="143">
        <v>717.67</v>
      </c>
      <c r="U52" s="144">
        <v>765.17</v>
      </c>
      <c r="V52" s="144">
        <v>782.17</v>
      </c>
      <c r="W52" s="144">
        <v>803.42</v>
      </c>
      <c r="X52" s="144">
        <v>824.67</v>
      </c>
      <c r="Y52" s="144">
        <v>845.92</v>
      </c>
    </row>
    <row r="53" spans="1:25">
      <c r="A53" s="2"/>
      <c r="B53" s="2"/>
      <c r="C53" s="2"/>
      <c r="D53" s="2"/>
      <c r="E53" s="2"/>
      <c r="F53" s="2"/>
      <c r="G53">
        <v>679.36</v>
      </c>
      <c r="H53" s="5">
        <v>3200</v>
      </c>
      <c r="I53" s="135">
        <f>G53/H53</f>
        <v>0.21230000000000002</v>
      </c>
      <c r="J53" s="5"/>
      <c r="K53" s="5"/>
      <c r="L53" s="5"/>
      <c r="M53" s="5"/>
      <c r="N53" s="5"/>
      <c r="P53" s="148"/>
      <c r="Q53" s="137" t="s">
        <v>51</v>
      </c>
      <c r="R53" s="137">
        <v>5562.01</v>
      </c>
      <c r="S53" s="139">
        <v>0.48</v>
      </c>
      <c r="T53" s="143">
        <v>1162.6300000000001</v>
      </c>
      <c r="U53" s="144">
        <v>1210.3</v>
      </c>
      <c r="V53" s="144">
        <v>1227.1300000000001</v>
      </c>
      <c r="W53" s="144">
        <v>1248.3800000000001</v>
      </c>
      <c r="X53" s="144">
        <v>1269.6300000000001</v>
      </c>
      <c r="Y53" s="144">
        <v>1290.8800000000001</v>
      </c>
    </row>
    <row r="54" spans="1:25">
      <c r="A54" s="2"/>
      <c r="B54" s="97" t="s">
        <v>98</v>
      </c>
      <c r="C54" s="2"/>
      <c r="D54" s="2"/>
      <c r="E54" s="2"/>
      <c r="F54" s="2"/>
      <c r="G54" s="149" t="s">
        <v>99</v>
      </c>
      <c r="H54" s="5"/>
      <c r="I54" s="5"/>
      <c r="J54" s="5"/>
      <c r="K54" s="150" t="s">
        <v>100</v>
      </c>
      <c r="L54" s="5"/>
      <c r="M54" s="5"/>
      <c r="N54" s="5"/>
      <c r="P54" s="148"/>
      <c r="Q54" s="137" t="s">
        <v>51</v>
      </c>
      <c r="R54" s="137">
        <v>8283.18</v>
      </c>
      <c r="S54" s="139">
        <v>0.5</v>
      </c>
      <c r="T54" s="143">
        <v>1328.3</v>
      </c>
      <c r="U54" s="144">
        <v>1375.97</v>
      </c>
      <c r="V54" s="144">
        <v>1392.8</v>
      </c>
      <c r="W54" s="144">
        <v>1414.05</v>
      </c>
      <c r="X54" s="144">
        <v>1435.3</v>
      </c>
      <c r="Y54" s="144">
        <v>1456.55</v>
      </c>
    </row>
    <row r="55" spans="1:25">
      <c r="B55" s="151" t="s">
        <v>101</v>
      </c>
      <c r="C55" s="152">
        <f>E25</f>
        <v>4117.5757575757571</v>
      </c>
      <c r="D55" s="151"/>
      <c r="E55" s="5"/>
      <c r="F55" s="5"/>
      <c r="G55" s="151" t="s">
        <v>102</v>
      </c>
      <c r="H55" s="152">
        <f>I21</f>
        <v>3440</v>
      </c>
      <c r="I55" s="151"/>
      <c r="J55" s="5"/>
      <c r="K55" s="151" t="s">
        <v>102</v>
      </c>
      <c r="L55" s="152">
        <f>M21</f>
        <v>3440</v>
      </c>
      <c r="M55" s="151"/>
      <c r="N55" s="5"/>
      <c r="P55" s="148"/>
      <c r="Q55" s="137" t="s">
        <v>51</v>
      </c>
      <c r="R55" s="137">
        <v>83344.34</v>
      </c>
      <c r="S55" s="139">
        <v>0.55000000000000004</v>
      </c>
      <c r="T55" s="143">
        <v>5495.51</v>
      </c>
      <c r="U55" s="144">
        <v>5543.18</v>
      </c>
      <c r="V55" s="144">
        <v>5560.01</v>
      </c>
      <c r="W55" s="144">
        <v>5581.26</v>
      </c>
      <c r="X55" s="144">
        <v>5602.51</v>
      </c>
      <c r="Y55" s="144">
        <v>5623.76</v>
      </c>
    </row>
    <row r="56" spans="1:25">
      <c r="A56" s="2"/>
      <c r="B56" s="151" t="s">
        <v>103</v>
      </c>
      <c r="C56" s="151"/>
      <c r="D56" s="152">
        <f>E26*-1</f>
        <v>744.04593939393931</v>
      </c>
      <c r="E56" s="5"/>
      <c r="F56" s="5"/>
      <c r="G56" s="151" t="s">
        <v>104</v>
      </c>
      <c r="H56" s="151"/>
      <c r="I56" s="152">
        <f>I25*-1</f>
        <v>587.20799999999997</v>
      </c>
      <c r="J56" s="5" t="s">
        <v>4</v>
      </c>
      <c r="K56" s="151" t="s">
        <v>104</v>
      </c>
      <c r="L56" s="151"/>
      <c r="M56" s="152">
        <f>M25*-1</f>
        <v>587.20799999999997</v>
      </c>
      <c r="N56" s="5"/>
    </row>
    <row r="57" spans="1:25">
      <c r="A57" s="2"/>
      <c r="B57" s="151" t="s">
        <v>105</v>
      </c>
      <c r="C57" s="151"/>
      <c r="D57" s="152">
        <f>E39*-1</f>
        <v>83.150145454545296</v>
      </c>
      <c r="E57" s="5"/>
      <c r="F57" s="5"/>
      <c r="G57" s="151" t="s">
        <v>106</v>
      </c>
      <c r="H57" s="151"/>
      <c r="I57" s="152">
        <f>I35*-1</f>
        <v>133.96751999999998</v>
      </c>
      <c r="J57" s="5"/>
      <c r="K57" s="151" t="s">
        <v>106</v>
      </c>
      <c r="L57" s="151"/>
      <c r="M57" s="152">
        <f>M35*-1</f>
        <v>171.16752</v>
      </c>
      <c r="N57" s="5"/>
    </row>
    <row r="58" spans="1:25">
      <c r="A58" s="2"/>
      <c r="B58" s="151" t="s">
        <v>107</v>
      </c>
      <c r="C58" s="151"/>
      <c r="D58" s="152">
        <f>E40*-1</f>
        <v>34.4</v>
      </c>
      <c r="E58" s="5"/>
      <c r="F58" s="5"/>
      <c r="G58" s="153"/>
      <c r="H58" s="153"/>
      <c r="I58" s="153"/>
      <c r="J58" s="5"/>
      <c r="K58" s="153"/>
      <c r="L58" s="153"/>
      <c r="M58" s="153"/>
      <c r="N58" s="5"/>
    </row>
    <row r="59" spans="1:25">
      <c r="A59" s="2"/>
      <c r="B59" s="151" t="s">
        <v>107</v>
      </c>
      <c r="C59" s="151"/>
      <c r="D59" s="152">
        <f>E41*-1</f>
        <v>13.8</v>
      </c>
      <c r="E59" s="5"/>
      <c r="F59" s="5"/>
      <c r="G59" s="153" t="s">
        <v>108</v>
      </c>
      <c r="H59" s="153"/>
      <c r="I59" s="153"/>
      <c r="J59" s="5"/>
      <c r="K59" s="153" t="s">
        <v>108</v>
      </c>
      <c r="L59" s="153"/>
      <c r="M59" s="153"/>
      <c r="N59" s="5"/>
      <c r="O59" s="6"/>
    </row>
    <row r="60" spans="1:25">
      <c r="A60" s="2"/>
      <c r="B60" s="151" t="s">
        <v>109</v>
      </c>
      <c r="C60" s="151"/>
      <c r="D60" s="152">
        <f>E44</f>
        <v>3036.6796727272722</v>
      </c>
      <c r="E60" s="5"/>
      <c r="F60" s="5"/>
      <c r="G60" s="151" t="s">
        <v>110</v>
      </c>
      <c r="H60" s="151"/>
      <c r="I60" s="152">
        <f>I44</f>
        <v>2718.8244799999998</v>
      </c>
      <c r="J60" s="5"/>
      <c r="K60" s="151" t="s">
        <v>110</v>
      </c>
      <c r="L60" s="151"/>
      <c r="M60" s="152">
        <f>M44</f>
        <v>2681.6244799999999</v>
      </c>
      <c r="N60" s="5"/>
      <c r="O60" s="1" t="s">
        <v>111</v>
      </c>
      <c r="P60" s="35"/>
      <c r="R60" s="35"/>
      <c r="S60" s="35"/>
      <c r="T60" s="35"/>
    </row>
    <row r="61" spans="1:25">
      <c r="A61" s="2"/>
      <c r="B61" s="2"/>
      <c r="C61" s="2"/>
      <c r="D61" s="2"/>
      <c r="E61" s="2"/>
      <c r="F61" s="2"/>
      <c r="H61" s="5"/>
      <c r="I61" s="5"/>
      <c r="J61" s="5"/>
      <c r="K61" s="5"/>
      <c r="L61" s="5"/>
      <c r="M61" s="5"/>
      <c r="N61" s="5"/>
      <c r="O61" s="6" t="s">
        <v>112</v>
      </c>
      <c r="P61" t="s">
        <v>113</v>
      </c>
    </row>
    <row r="62" spans="1:25">
      <c r="A62" s="2"/>
      <c r="B62" s="151" t="s">
        <v>114</v>
      </c>
      <c r="C62" s="154">
        <f>D52</f>
        <v>721.71199999999999</v>
      </c>
      <c r="D62" s="151"/>
      <c r="E62" s="2"/>
      <c r="F62" s="2"/>
      <c r="H62" s="5"/>
      <c r="I62" s="5"/>
      <c r="J62" s="5"/>
      <c r="K62" s="5" t="s">
        <v>4</v>
      </c>
      <c r="L62" s="5"/>
      <c r="M62" s="5"/>
      <c r="N62" s="5"/>
      <c r="O62" t="s">
        <v>115</v>
      </c>
      <c r="P62" t="s">
        <v>116</v>
      </c>
    </row>
    <row r="63" spans="1:25">
      <c r="A63" s="2"/>
      <c r="B63" s="151" t="s">
        <v>117</v>
      </c>
      <c r="C63" s="151"/>
      <c r="D63" s="154">
        <f>D52</f>
        <v>721.71199999999999</v>
      </c>
      <c r="E63" s="2"/>
      <c r="F63" s="2"/>
      <c r="H63" s="5"/>
      <c r="I63" s="5"/>
      <c r="J63" s="5"/>
      <c r="K63" s="5"/>
      <c r="L63" s="5"/>
      <c r="M63" s="5"/>
      <c r="N63" s="5"/>
      <c r="O63" t="s">
        <v>118</v>
      </c>
      <c r="P63" t="s">
        <v>119</v>
      </c>
    </row>
    <row r="64" spans="1:25">
      <c r="B64" s="2"/>
      <c r="C64" s="2"/>
      <c r="D64" s="2"/>
      <c r="H64" s="5"/>
      <c r="I64" s="5"/>
      <c r="J64" s="5"/>
      <c r="K64" s="5"/>
      <c r="L64" s="5"/>
      <c r="M64" s="5"/>
      <c r="N64" s="5"/>
      <c r="O64" t="s">
        <v>120</v>
      </c>
      <c r="P64" t="s">
        <v>121</v>
      </c>
    </row>
    <row r="65" spans="2:19">
      <c r="B65" s="151" t="s">
        <v>122</v>
      </c>
      <c r="C65" s="154">
        <f>D48</f>
        <v>134.16</v>
      </c>
      <c r="D65" s="151"/>
      <c r="H65" s="5"/>
      <c r="I65" s="5"/>
      <c r="J65" s="5"/>
      <c r="K65" s="5"/>
      <c r="L65" s="5"/>
      <c r="M65" s="5"/>
      <c r="N65" s="5"/>
      <c r="O65" t="s">
        <v>123</v>
      </c>
      <c r="P65" t="s">
        <v>113</v>
      </c>
    </row>
    <row r="66" spans="2:19">
      <c r="B66" s="151" t="s">
        <v>124</v>
      </c>
      <c r="C66" s="154">
        <f>D49</f>
        <v>12.384</v>
      </c>
      <c r="D66" s="151"/>
      <c r="H66" s="5"/>
      <c r="I66" s="5"/>
      <c r="J66" s="5"/>
      <c r="K66" s="5"/>
      <c r="L66" s="5"/>
      <c r="M66" s="5"/>
      <c r="N66" s="5"/>
      <c r="O66" t="s">
        <v>125</v>
      </c>
      <c r="P66" t="s">
        <v>126</v>
      </c>
    </row>
    <row r="67" spans="2:19">
      <c r="B67" s="151" t="s">
        <v>106</v>
      </c>
      <c r="C67" s="151"/>
      <c r="D67" s="155">
        <f>C65+C66</f>
        <v>146.54399999999998</v>
      </c>
      <c r="H67" s="5"/>
      <c r="I67" s="5"/>
      <c r="J67" s="5"/>
      <c r="K67" s="5"/>
      <c r="L67" s="5"/>
      <c r="M67" s="5"/>
      <c r="N67" s="5"/>
      <c r="O67" t="s">
        <v>86</v>
      </c>
      <c r="P67" t="s">
        <v>113</v>
      </c>
    </row>
    <row r="68" spans="2:19">
      <c r="B68" s="2"/>
      <c r="C68" s="2"/>
      <c r="D68" s="2"/>
      <c r="H68" s="5"/>
      <c r="I68" s="5"/>
      <c r="J68" s="5"/>
      <c r="K68" s="5"/>
      <c r="L68" s="5"/>
      <c r="M68" s="5"/>
      <c r="N68" s="5"/>
      <c r="O68" t="s">
        <v>127</v>
      </c>
      <c r="P68" t="s">
        <v>121</v>
      </c>
    </row>
    <row r="69" spans="2:19">
      <c r="B69" s="151" t="s">
        <v>128</v>
      </c>
      <c r="C69" s="154">
        <f>D50</f>
        <v>103.2</v>
      </c>
      <c r="D69" s="151"/>
      <c r="H69" s="5"/>
      <c r="I69" s="5"/>
      <c r="J69" s="5"/>
      <c r="K69" s="5"/>
      <c r="L69" s="5"/>
      <c r="M69" s="5"/>
      <c r="N69" s="5"/>
      <c r="O69" t="s">
        <v>129</v>
      </c>
      <c r="P69" t="s">
        <v>121</v>
      </c>
    </row>
    <row r="70" spans="2:19">
      <c r="B70" s="151" t="s">
        <v>130</v>
      </c>
      <c r="C70" s="154">
        <f>D51</f>
        <v>10</v>
      </c>
      <c r="D70" s="151"/>
      <c r="H70" s="5"/>
      <c r="I70" s="5"/>
      <c r="J70" s="5"/>
      <c r="K70" s="5"/>
      <c r="L70" s="5"/>
      <c r="M70" s="5"/>
      <c r="N70" s="5"/>
    </row>
    <row r="71" spans="2:19">
      <c r="B71" s="151" t="s">
        <v>131</v>
      </c>
      <c r="C71" s="151"/>
      <c r="D71" s="155">
        <f>C69+C70</f>
        <v>113.2</v>
      </c>
      <c r="H71" s="5"/>
      <c r="I71" s="5"/>
      <c r="J71" s="5"/>
      <c r="K71" s="5"/>
      <c r="L71" s="5"/>
      <c r="M71" s="5"/>
      <c r="N71" s="5"/>
      <c r="P71" s="27" t="s">
        <v>132</v>
      </c>
      <c r="Q71" s="27"/>
      <c r="R71" s="27"/>
      <c r="S71" s="27"/>
    </row>
    <row r="72" spans="2:19">
      <c r="H72" s="5"/>
      <c r="I72" s="5"/>
      <c r="J72" s="5"/>
      <c r="K72" s="5"/>
      <c r="L72" s="5"/>
      <c r="M72" s="5"/>
      <c r="N72" s="5"/>
      <c r="P72" s="166" t="s">
        <v>133</v>
      </c>
      <c r="Q72" s="167"/>
      <c r="R72" s="167"/>
      <c r="S72" s="64" t="s">
        <v>134</v>
      </c>
    </row>
    <row r="73" spans="2:19">
      <c r="H73" s="5"/>
      <c r="I73" s="5"/>
      <c r="J73" s="5"/>
      <c r="K73" s="5"/>
      <c r="L73" s="5"/>
      <c r="M73" s="5"/>
      <c r="N73" s="5"/>
      <c r="P73" s="168" t="s">
        <v>135</v>
      </c>
      <c r="Q73" s="169"/>
      <c r="R73" s="36">
        <v>0</v>
      </c>
      <c r="S73" s="156">
        <v>0</v>
      </c>
    </row>
    <row r="74" spans="2:19">
      <c r="H74" s="5"/>
      <c r="I74" s="5"/>
      <c r="J74" s="5"/>
      <c r="K74" s="5"/>
      <c r="L74" s="5"/>
      <c r="M74" s="5"/>
      <c r="N74" s="5"/>
      <c r="P74" s="170" t="s">
        <v>51</v>
      </c>
      <c r="Q74" s="171"/>
      <c r="R74" s="157">
        <v>620</v>
      </c>
      <c r="S74" s="72">
        <v>0.06</v>
      </c>
    </row>
    <row r="75" spans="2:19">
      <c r="H75" s="5"/>
      <c r="I75" s="5"/>
      <c r="J75" s="5"/>
      <c r="K75" s="5"/>
      <c r="L75" s="5"/>
      <c r="M75" s="5"/>
      <c r="N75" s="5"/>
      <c r="P75" s="170" t="s">
        <v>51</v>
      </c>
      <c r="Q75" s="171"/>
      <c r="R75" s="158">
        <v>25000</v>
      </c>
      <c r="S75" s="159">
        <v>0.27</v>
      </c>
    </row>
    <row r="76" spans="2:19">
      <c r="H76" s="5"/>
      <c r="I76" s="5"/>
      <c r="J76" s="5"/>
      <c r="K76" s="5"/>
      <c r="L76" s="5"/>
      <c r="M76" s="5"/>
      <c r="N76" s="5"/>
      <c r="P76" s="170" t="s">
        <v>51</v>
      </c>
      <c r="Q76" s="171"/>
      <c r="R76" s="158">
        <f>R75+25000</f>
        <v>50000</v>
      </c>
      <c r="S76" s="159">
        <v>0.35749999999999998</v>
      </c>
    </row>
    <row r="77" spans="2:19">
      <c r="H77" s="5"/>
      <c r="I77" s="5"/>
      <c r="J77" s="5"/>
      <c r="K77" s="5"/>
      <c r="L77" s="5"/>
      <c r="M77" s="5"/>
      <c r="N77" s="5"/>
      <c r="P77" s="170" t="s">
        <v>51</v>
      </c>
      <c r="Q77" s="171"/>
      <c r="R77" s="158">
        <f>R76+33333</f>
        <v>83333</v>
      </c>
      <c r="S77" s="159">
        <v>0.5</v>
      </c>
    </row>
    <row r="78" spans="2:19">
      <c r="H78" s="5"/>
      <c r="I78" s="5"/>
      <c r="J78" s="5"/>
      <c r="K78" s="5"/>
      <c r="L78" s="5"/>
      <c r="M78" s="5"/>
      <c r="N78" s="5"/>
      <c r="P78" s="164"/>
      <c r="Q78" s="165"/>
      <c r="R78" s="160"/>
      <c r="S78" s="161"/>
    </row>
    <row r="79" spans="2:19">
      <c r="H79" s="5"/>
      <c r="I79" s="5"/>
      <c r="J79" s="5"/>
      <c r="K79" s="5"/>
      <c r="L79" s="5"/>
      <c r="M79" s="5"/>
      <c r="N79" s="5"/>
    </row>
    <row r="80" spans="2:19">
      <c r="H80" s="5"/>
      <c r="I80" s="5"/>
      <c r="J80" s="5"/>
      <c r="K80" s="5"/>
      <c r="L80" s="5"/>
      <c r="M80" s="5"/>
      <c r="N80" s="5"/>
    </row>
    <row r="81" spans="8:14">
      <c r="H81" s="5"/>
      <c r="I81" s="5"/>
      <c r="J81" s="5"/>
      <c r="K81" s="5"/>
      <c r="L81" s="5"/>
      <c r="M81" s="5"/>
      <c r="N81" s="5"/>
    </row>
  </sheetData>
  <mergeCells count="14">
    <mergeCell ref="P78:Q78"/>
    <mergeCell ref="P72:R72"/>
    <mergeCell ref="P73:Q73"/>
    <mergeCell ref="P74:Q74"/>
    <mergeCell ref="P75:Q75"/>
    <mergeCell ref="P76:Q76"/>
    <mergeCell ref="P77:Q77"/>
    <mergeCell ref="L20:M20"/>
    <mergeCell ref="P39:Q39"/>
    <mergeCell ref="R39:S39"/>
    <mergeCell ref="P46:Y46"/>
    <mergeCell ref="P47:R47"/>
    <mergeCell ref="S47:S48"/>
    <mergeCell ref="U47:Y47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E8DA4-9049-A949-9E6D-293255D99F30}">
  <dimension ref="A4:Y81"/>
  <sheetViews>
    <sheetView topLeftCell="A11" workbookViewId="0">
      <selection activeCell="C14" sqref="C14"/>
    </sheetView>
  </sheetViews>
  <sheetFormatPr baseColWidth="10" defaultRowHeight="16"/>
  <sheetData>
    <row r="4" spans="1:25">
      <c r="A4" s="2"/>
      <c r="B4" s="2"/>
      <c r="C4" s="2"/>
      <c r="D4" s="2"/>
      <c r="E4" s="2"/>
      <c r="F4" s="2"/>
    </row>
    <row r="5" spans="1:25">
      <c r="A5" s="2"/>
      <c r="B5" s="2"/>
      <c r="C5" s="2"/>
      <c r="D5" s="2"/>
      <c r="E5" s="2"/>
      <c r="F5" s="2"/>
    </row>
    <row r="6" spans="1:25">
      <c r="A6" s="2" t="s">
        <v>1</v>
      </c>
      <c r="B6" s="1" t="s">
        <v>147</v>
      </c>
      <c r="C6" s="2" t="s">
        <v>2</v>
      </c>
      <c r="D6" s="2"/>
      <c r="E6" s="2"/>
      <c r="F6" s="2"/>
    </row>
    <row r="7" spans="1:25">
      <c r="A7" s="3" t="s">
        <v>3</v>
      </c>
      <c r="B7" s="4">
        <v>3700</v>
      </c>
      <c r="C7" s="5"/>
      <c r="D7" s="5"/>
      <c r="E7" s="5" t="s">
        <v>4</v>
      </c>
      <c r="F7" s="5"/>
      <c r="G7" s="5"/>
      <c r="H7" s="5"/>
      <c r="I7" s="5"/>
      <c r="J7" s="5"/>
      <c r="K7" s="5"/>
      <c r="L7" s="5"/>
      <c r="M7" s="5"/>
      <c r="N7" s="5"/>
      <c r="O7" s="6"/>
      <c r="P7" s="7"/>
      <c r="Q7" s="7"/>
      <c r="R7" s="7"/>
      <c r="S7" s="7"/>
      <c r="T7" s="7"/>
      <c r="U7" s="7"/>
      <c r="V7" s="8"/>
      <c r="W7" s="8"/>
      <c r="X7" s="8"/>
      <c r="Y7" s="8"/>
    </row>
    <row r="8" spans="1:25">
      <c r="A8" s="3" t="s">
        <v>5</v>
      </c>
      <c r="B8" s="9">
        <v>167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7"/>
      <c r="Q8" s="7"/>
      <c r="R8" s="7"/>
      <c r="S8" s="7"/>
      <c r="T8" s="7"/>
      <c r="U8" s="7"/>
      <c r="V8" s="8"/>
      <c r="W8" s="8"/>
      <c r="X8" s="8"/>
      <c r="Y8" s="8"/>
    </row>
    <row r="9" spans="1:25">
      <c r="A9" s="3" t="s">
        <v>6</v>
      </c>
      <c r="B9" s="10">
        <v>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7"/>
      <c r="Q9" s="7"/>
      <c r="R9" s="7"/>
      <c r="S9" s="7"/>
      <c r="T9" s="7"/>
      <c r="U9" s="7"/>
      <c r="V9" s="8"/>
      <c r="W9" s="8"/>
      <c r="X9" s="8"/>
      <c r="Y9" s="8"/>
    </row>
    <row r="10" spans="1:25">
      <c r="A10" s="3" t="s">
        <v>7</v>
      </c>
      <c r="B10" s="10">
        <v>3</v>
      </c>
      <c r="C10" s="11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7"/>
      <c r="Q10" s="7"/>
      <c r="R10" s="7"/>
      <c r="S10" s="7"/>
      <c r="T10" s="7"/>
      <c r="U10" s="7"/>
      <c r="V10" s="8"/>
      <c r="W10" s="8"/>
      <c r="X10" s="8"/>
      <c r="Y10" s="8"/>
    </row>
    <row r="11" spans="1:25">
      <c r="A11" s="3" t="s">
        <v>8</v>
      </c>
      <c r="B11" s="4">
        <v>30</v>
      </c>
      <c r="C11" s="5" t="s">
        <v>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7"/>
      <c r="Q11" s="7"/>
      <c r="R11" s="7"/>
      <c r="S11" s="7"/>
      <c r="T11" s="7"/>
      <c r="U11" s="7"/>
      <c r="V11" s="8"/>
      <c r="W11" s="8"/>
      <c r="X11" s="8"/>
      <c r="Y11" s="8"/>
    </row>
    <row r="12" spans="1:25">
      <c r="A12" s="3" t="s">
        <v>10</v>
      </c>
      <c r="B12" s="12" t="s">
        <v>11</v>
      </c>
      <c r="C12" s="5" t="s">
        <v>12</v>
      </c>
      <c r="D12" s="13" t="s">
        <v>11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7"/>
      <c r="Q12" s="7"/>
      <c r="R12" s="7"/>
      <c r="S12" s="7"/>
      <c r="T12" s="7"/>
      <c r="U12" s="7"/>
      <c r="V12" s="8"/>
      <c r="W12" s="8"/>
      <c r="X12" s="8"/>
      <c r="Y12" s="8"/>
    </row>
    <row r="13" spans="1:25">
      <c r="A13" s="3" t="s">
        <v>13</v>
      </c>
      <c r="B13" s="12">
        <v>96</v>
      </c>
      <c r="C13" s="5" t="s">
        <v>14</v>
      </c>
      <c r="D13" s="13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7"/>
      <c r="Q13" s="7"/>
      <c r="R13" s="7"/>
      <c r="S13" s="7"/>
      <c r="T13" s="7"/>
      <c r="U13" s="7"/>
      <c r="V13" s="8"/>
      <c r="W13" s="8"/>
      <c r="X13" s="8"/>
      <c r="Y13" s="8"/>
    </row>
    <row r="14" spans="1:25">
      <c r="A14" s="3" t="s">
        <v>15</v>
      </c>
      <c r="B14" s="14" t="s">
        <v>137</v>
      </c>
      <c r="C14" s="5" t="s">
        <v>141</v>
      </c>
      <c r="D14" s="5" t="s">
        <v>16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7"/>
      <c r="Q14" s="7"/>
      <c r="R14" s="7"/>
      <c r="S14" s="7"/>
      <c r="T14" s="7"/>
      <c r="U14" s="7"/>
      <c r="V14" s="8"/>
      <c r="W14" s="8"/>
      <c r="X14" s="8"/>
      <c r="Y14" s="8"/>
    </row>
    <row r="15" spans="1:25">
      <c r="A15" s="3" t="s">
        <v>17</v>
      </c>
      <c r="B15" s="4">
        <v>13.8</v>
      </c>
      <c r="C15" s="5" t="s">
        <v>140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 t="s">
        <v>4</v>
      </c>
      <c r="P15" s="7"/>
      <c r="Q15" s="7">
        <f>E21*14</f>
        <v>51800</v>
      </c>
      <c r="R15" s="7"/>
      <c r="S15" s="7"/>
      <c r="T15" s="7"/>
      <c r="U15" s="7"/>
      <c r="V15" s="8"/>
      <c r="W15" s="8"/>
      <c r="X15" s="8"/>
      <c r="Y15" s="8"/>
    </row>
    <row r="16" spans="1:25">
      <c r="A16" s="3" t="s">
        <v>18</v>
      </c>
      <c r="B16" s="15">
        <v>2</v>
      </c>
      <c r="C16" s="5" t="s">
        <v>19</v>
      </c>
      <c r="D16" s="5"/>
      <c r="E16" s="5">
        <f>166.68</f>
        <v>166.68</v>
      </c>
      <c r="F16" s="5" t="s">
        <v>20</v>
      </c>
      <c r="G16" s="5"/>
      <c r="H16" s="5"/>
      <c r="I16" s="5"/>
      <c r="J16" s="5"/>
      <c r="K16" s="5"/>
      <c r="L16" s="5"/>
      <c r="M16" s="5"/>
      <c r="N16" s="5"/>
      <c r="O16" s="6"/>
      <c r="U16" s="7"/>
      <c r="V16" s="8"/>
      <c r="W16" s="8"/>
      <c r="X16" s="8"/>
      <c r="Y16" s="8"/>
    </row>
    <row r="17" spans="1:25">
      <c r="A17" s="3" t="s">
        <v>21</v>
      </c>
      <c r="B17" s="4">
        <v>0</v>
      </c>
      <c r="C17" s="5" t="s">
        <v>22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U17" s="7"/>
      <c r="V17" s="8"/>
      <c r="W17" s="8"/>
      <c r="X17" s="8"/>
      <c r="Y17" s="8"/>
    </row>
    <row r="18" spans="1:25">
      <c r="A18" s="3" t="s">
        <v>23</v>
      </c>
      <c r="B18" s="4">
        <v>0</v>
      </c>
      <c r="C18" s="5" t="s">
        <v>24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U18" s="7"/>
      <c r="V18" s="8"/>
      <c r="W18" s="8"/>
      <c r="X18" s="8"/>
      <c r="Y18" s="8"/>
    </row>
    <row r="19" spans="1:25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16" t="s">
        <v>25</v>
      </c>
      <c r="Q19" s="17">
        <f>B8</f>
        <v>167</v>
      </c>
      <c r="R19" s="18"/>
      <c r="S19" s="18"/>
      <c r="T19" s="18"/>
      <c r="U19" s="7"/>
      <c r="V19" s="8"/>
      <c r="W19" s="8"/>
      <c r="X19" s="8"/>
      <c r="Y19" s="8"/>
    </row>
    <row r="20" spans="1:25">
      <c r="A20" s="19" t="s">
        <v>148</v>
      </c>
      <c r="B20" s="20"/>
      <c r="C20" s="20"/>
      <c r="D20" s="20"/>
      <c r="E20" s="21"/>
      <c r="F20" s="5"/>
      <c r="G20" s="22" t="s">
        <v>27</v>
      </c>
      <c r="H20" s="23"/>
      <c r="I20" s="24"/>
      <c r="J20" s="18"/>
      <c r="K20" s="22" t="s">
        <v>28</v>
      </c>
      <c r="L20" s="172" t="s">
        <v>29</v>
      </c>
      <c r="M20" s="173"/>
      <c r="N20" s="5"/>
      <c r="O20" s="6"/>
      <c r="P20" s="25" t="s">
        <v>30</v>
      </c>
      <c r="Q20" s="26">
        <f>ROUND(E21/Q19,3)</f>
        <v>22.155999999999999</v>
      </c>
      <c r="R20" s="18"/>
      <c r="S20" s="18"/>
      <c r="T20" s="18"/>
      <c r="U20" s="27"/>
      <c r="V20" s="28"/>
      <c r="W20" s="28"/>
      <c r="X20" s="28"/>
      <c r="Y20" s="28"/>
    </row>
    <row r="21" spans="1:25">
      <c r="A21" s="29" t="s">
        <v>3</v>
      </c>
      <c r="B21" s="30"/>
      <c r="C21" s="31"/>
      <c r="D21" s="31"/>
      <c r="E21" s="32">
        <f>B7</f>
        <v>3700</v>
      </c>
      <c r="F21" s="5"/>
      <c r="G21" s="29" t="s">
        <v>3</v>
      </c>
      <c r="H21" s="33"/>
      <c r="I21" s="32">
        <f>E21</f>
        <v>3700</v>
      </c>
      <c r="J21" s="5"/>
      <c r="K21" s="29" t="s">
        <v>3</v>
      </c>
      <c r="L21" s="34"/>
      <c r="M21" s="32">
        <f>I21</f>
        <v>3700</v>
      </c>
      <c r="N21" s="5"/>
      <c r="O21" s="6"/>
      <c r="P21" s="35"/>
      <c r="Q21" s="35"/>
      <c r="R21" s="18"/>
      <c r="S21" s="18"/>
      <c r="T21" s="18"/>
      <c r="U21" s="27"/>
      <c r="V21" s="36"/>
      <c r="W21" s="36"/>
      <c r="X21" s="36"/>
      <c r="Y21" s="36"/>
    </row>
    <row r="22" spans="1:25">
      <c r="A22" s="37" t="s">
        <v>149</v>
      </c>
      <c r="B22" s="37"/>
      <c r="C22" s="38"/>
      <c r="D22" s="39"/>
      <c r="E22" s="40">
        <f>IF(B8&gt;0,(B7/B8)*(B9+B10),0)</f>
        <v>177.24550898203591</v>
      </c>
      <c r="F22" s="5"/>
      <c r="G22" s="34"/>
      <c r="H22" s="33"/>
      <c r="I22" s="41"/>
      <c r="J22" s="5"/>
      <c r="K22" s="34"/>
      <c r="L22" s="34"/>
      <c r="M22" s="41"/>
      <c r="N22" s="5"/>
      <c r="O22" s="6"/>
      <c r="P22" s="25" t="s">
        <v>31</v>
      </c>
      <c r="Q22" s="17">
        <f>B9</f>
        <v>5</v>
      </c>
      <c r="R22" s="42" t="s">
        <v>32</v>
      </c>
      <c r="S22" s="42"/>
      <c r="T22" s="43">
        <f>IF(Q22&lt;18,Q22,18)</f>
        <v>5</v>
      </c>
      <c r="U22" s="27"/>
      <c r="V22" s="36"/>
      <c r="W22" s="36"/>
      <c r="X22" s="36"/>
      <c r="Y22" s="36"/>
    </row>
    <row r="23" spans="1:25">
      <c r="A23" s="37" t="s">
        <v>150</v>
      </c>
      <c r="B23" s="37"/>
      <c r="C23" s="38"/>
      <c r="D23" s="39"/>
      <c r="E23" s="40">
        <f>IF(B8&gt;0,B7/B8/2*B9,0)</f>
        <v>55.389221556886227</v>
      </c>
      <c r="F23" s="5"/>
      <c r="G23" s="34"/>
      <c r="H23" s="33"/>
      <c r="I23" s="41"/>
      <c r="J23" s="5"/>
      <c r="K23" s="34"/>
      <c r="L23" s="34"/>
      <c r="M23" s="41"/>
      <c r="N23" s="5"/>
      <c r="O23" s="6"/>
      <c r="P23" s="25" t="s">
        <v>33</v>
      </c>
      <c r="Q23" s="17">
        <f>B10</f>
        <v>3</v>
      </c>
      <c r="R23" s="42" t="s">
        <v>32</v>
      </c>
      <c r="S23" s="42"/>
      <c r="T23" s="43">
        <f>Q23</f>
        <v>3</v>
      </c>
      <c r="U23" s="27"/>
      <c r="V23" s="36"/>
      <c r="W23" s="36"/>
      <c r="X23" s="36"/>
      <c r="Y23" s="36"/>
    </row>
    <row r="24" spans="1:25">
      <c r="A24" s="44" t="s">
        <v>151</v>
      </c>
      <c r="B24" s="44"/>
      <c r="C24" s="45"/>
      <c r="D24" s="45"/>
      <c r="E24" s="46">
        <f>IF(B8&gt;0,B7/B8*B10,0)</f>
        <v>66.467065868263461</v>
      </c>
      <c r="F24" s="5"/>
      <c r="G24" s="34"/>
      <c r="H24" s="33"/>
      <c r="I24" s="41"/>
      <c r="J24" s="5"/>
      <c r="K24" s="34"/>
      <c r="L24" s="34"/>
      <c r="M24" s="41"/>
      <c r="N24" s="5"/>
      <c r="O24" s="6"/>
      <c r="P24" s="25" t="s">
        <v>34</v>
      </c>
      <c r="Q24" s="26">
        <f>Q22+Q23</f>
        <v>8</v>
      </c>
      <c r="R24" s="18"/>
      <c r="S24" s="18"/>
      <c r="T24" s="18"/>
      <c r="U24" s="27"/>
      <c r="V24" s="36"/>
      <c r="W24" s="36"/>
      <c r="X24" s="36"/>
      <c r="Y24" s="36"/>
    </row>
    <row r="25" spans="1:25">
      <c r="A25" s="37" t="s">
        <v>35</v>
      </c>
      <c r="B25" s="37" t="s">
        <v>36</v>
      </c>
      <c r="C25" s="162">
        <f>IF(E25&gt;R36,R36,E25)</f>
        <v>3999.1017964071857</v>
      </c>
      <c r="D25" s="39"/>
      <c r="E25" s="47">
        <f>SUM(E21:E24)</f>
        <v>3999.1017964071857</v>
      </c>
      <c r="F25" s="5"/>
      <c r="G25" s="34" t="s">
        <v>37</v>
      </c>
      <c r="H25" s="48">
        <f>D26-1%</f>
        <v>0.17069999999999999</v>
      </c>
      <c r="I25" s="49">
        <f>I21*-H25</f>
        <v>-631.58999999999992</v>
      </c>
      <c r="J25" s="5"/>
      <c r="K25" s="34" t="s">
        <v>37</v>
      </c>
      <c r="L25" s="50">
        <f>H25</f>
        <v>0.17069999999999999</v>
      </c>
      <c r="M25" s="49">
        <f>M21*-L25</f>
        <v>-631.58999999999992</v>
      </c>
      <c r="N25" s="5"/>
      <c r="O25" s="6"/>
      <c r="P25" s="35"/>
      <c r="Q25" s="51"/>
      <c r="R25" s="18"/>
      <c r="S25" s="18"/>
      <c r="T25" s="18"/>
      <c r="U25" s="27"/>
      <c r="V25" s="36"/>
      <c r="W25" s="36"/>
      <c r="X25" s="36"/>
      <c r="Y25" s="36"/>
    </row>
    <row r="26" spans="1:25">
      <c r="A26" s="52" t="s">
        <v>38</v>
      </c>
      <c r="B26" s="37" t="s">
        <v>39</v>
      </c>
      <c r="C26" s="53">
        <f>E26</f>
        <v>-722.63769461077845</v>
      </c>
      <c r="D26" s="54">
        <f>S35</f>
        <v>0.1807</v>
      </c>
      <c r="E26" s="55">
        <f>-D26*C25</f>
        <v>-722.63769461077845</v>
      </c>
      <c r="F26" s="5"/>
      <c r="G26" s="34" t="s">
        <v>40</v>
      </c>
      <c r="H26" s="56">
        <f>I21</f>
        <v>3700</v>
      </c>
      <c r="I26" s="49"/>
      <c r="J26" s="5"/>
      <c r="K26" s="34" t="s">
        <v>40</v>
      </c>
      <c r="L26" s="57">
        <f>M21</f>
        <v>3700</v>
      </c>
      <c r="M26" s="49"/>
      <c r="N26" s="5"/>
      <c r="O26" s="6"/>
      <c r="T26" s="27"/>
      <c r="U26" s="27"/>
      <c r="V26" s="36"/>
      <c r="W26" s="36"/>
      <c r="X26" s="36"/>
      <c r="Y26" s="36"/>
    </row>
    <row r="27" spans="1:25">
      <c r="A27" s="58" t="s">
        <v>41</v>
      </c>
      <c r="B27" s="37" t="s">
        <v>146</v>
      </c>
      <c r="C27" s="59">
        <f>IF(B8&gt;0,IF(T22*Q20/2&gt;200,86,T22*Q20/2),0)*-1</f>
        <v>-55.39</v>
      </c>
      <c r="D27" s="39"/>
      <c r="E27" s="40"/>
      <c r="F27" s="5"/>
      <c r="G27" s="60" t="s">
        <v>42</v>
      </c>
      <c r="H27" s="56">
        <f>I25</f>
        <v>-631.58999999999992</v>
      </c>
      <c r="I27" s="49"/>
      <c r="J27" s="5"/>
      <c r="K27" s="60" t="s">
        <v>42</v>
      </c>
      <c r="L27" s="57">
        <f>M25</f>
        <v>-631.58999999999992</v>
      </c>
      <c r="M27" s="49"/>
      <c r="N27" s="5"/>
      <c r="O27" s="6"/>
      <c r="P27" s="27" t="s">
        <v>139</v>
      </c>
      <c r="Q27" s="27"/>
      <c r="R27" s="27"/>
      <c r="S27" s="27"/>
      <c r="T27" s="27"/>
      <c r="U27" s="27"/>
      <c r="V27" s="36"/>
      <c r="W27" s="36"/>
      <c r="X27" s="36"/>
      <c r="Y27" s="36"/>
    </row>
    <row r="28" spans="1:25">
      <c r="A28" s="58"/>
      <c r="B28" s="37" t="s">
        <v>145</v>
      </c>
      <c r="C28" s="59">
        <f>IF(B8&gt;0,IF(Q20*B10&gt;360,360,Q20*B10),0)*-1</f>
        <v>-66.467999999999989</v>
      </c>
      <c r="D28" s="39"/>
      <c r="E28" s="40"/>
      <c r="F28" s="5"/>
      <c r="G28" s="60"/>
      <c r="H28" s="61"/>
      <c r="I28" s="49"/>
      <c r="J28" s="5"/>
      <c r="K28" s="60"/>
      <c r="L28" s="57"/>
      <c r="M28" s="49"/>
      <c r="N28" s="5"/>
      <c r="O28" s="6"/>
      <c r="T28" s="27"/>
      <c r="U28" s="27"/>
      <c r="V28" s="36"/>
      <c r="W28" s="36"/>
      <c r="X28" s="36"/>
      <c r="Y28" s="36"/>
    </row>
    <row r="29" spans="1:25">
      <c r="A29" s="58"/>
      <c r="B29" s="37" t="s">
        <v>43</v>
      </c>
      <c r="C29" s="53">
        <f>-B11</f>
        <v>-30</v>
      </c>
      <c r="D29" s="39"/>
      <c r="E29" s="40"/>
      <c r="F29" s="5"/>
      <c r="G29" s="34"/>
      <c r="H29" s="56"/>
      <c r="I29" s="49"/>
      <c r="J29" s="5"/>
      <c r="K29" s="34"/>
      <c r="L29" s="57"/>
      <c r="M29" s="49"/>
      <c r="N29" s="5"/>
      <c r="O29" s="6"/>
      <c r="T29" s="27"/>
      <c r="U29" s="27"/>
      <c r="V29" s="36"/>
      <c r="W29" s="36"/>
      <c r="X29" s="36"/>
      <c r="Y29" s="36"/>
    </row>
    <row r="30" spans="1:25">
      <c r="A30" s="58"/>
      <c r="B30" s="37" t="s">
        <v>44</v>
      </c>
      <c r="C30" s="53">
        <f>IF(B12="klein",VLOOKUP(B13,P41:Q44,2,TRUE),IF(B12="groß",VLOOKUP(B13,R40:S44,2,TRUE),0))*-1</f>
        <v>-306</v>
      </c>
      <c r="D30" s="39"/>
      <c r="E30" s="40"/>
      <c r="F30" s="5"/>
      <c r="G30" s="60" t="s">
        <v>48</v>
      </c>
      <c r="H30" s="56">
        <v>-620</v>
      </c>
      <c r="I30" s="49"/>
      <c r="J30" s="5"/>
      <c r="K30" s="60" t="s">
        <v>48</v>
      </c>
      <c r="L30" s="57">
        <v>0</v>
      </c>
      <c r="M30" s="49"/>
      <c r="N30" s="5"/>
      <c r="O30" s="6"/>
      <c r="P30" s="62" t="s">
        <v>45</v>
      </c>
      <c r="Q30" s="63"/>
      <c r="R30" s="63"/>
      <c r="S30" s="64" t="s">
        <v>46</v>
      </c>
      <c r="T30" s="64"/>
      <c r="U30" s="27"/>
      <c r="V30" s="36"/>
      <c r="W30" s="36"/>
      <c r="X30" s="36"/>
      <c r="Y30" s="36"/>
    </row>
    <row r="31" spans="1:25">
      <c r="A31" s="58"/>
      <c r="B31" s="37" t="s">
        <v>47</v>
      </c>
      <c r="C31" s="53">
        <f>IF(B14="ja",IF(E21&lt;=3870,-E21*1%,-3870*1%),0)</f>
        <v>-37</v>
      </c>
      <c r="D31" s="39"/>
      <c r="E31" s="40"/>
      <c r="F31" s="5"/>
      <c r="H31" s="56"/>
      <c r="I31" s="49"/>
      <c r="J31" s="5"/>
      <c r="L31" s="57"/>
      <c r="M31" s="49"/>
      <c r="N31" s="5"/>
      <c r="O31" s="6"/>
      <c r="P31" s="65" t="s">
        <v>49</v>
      </c>
      <c r="Q31" s="66"/>
      <c r="R31" s="36">
        <v>0</v>
      </c>
      <c r="S31" s="67">
        <v>0</v>
      </c>
      <c r="T31" s="67"/>
      <c r="U31" s="27"/>
      <c r="V31" s="36"/>
      <c r="W31" s="36"/>
      <c r="X31" s="36"/>
      <c r="Y31" s="36"/>
    </row>
    <row r="32" spans="1:25">
      <c r="A32" s="58"/>
      <c r="B32" s="44" t="s">
        <v>50</v>
      </c>
      <c r="C32" s="68">
        <f>-B15</f>
        <v>-13.8</v>
      </c>
      <c r="D32" s="39"/>
      <c r="E32" s="40"/>
      <c r="F32" s="5"/>
      <c r="G32" s="34"/>
      <c r="H32" s="56"/>
      <c r="I32" s="49"/>
      <c r="J32" s="5"/>
      <c r="K32" s="34"/>
      <c r="L32" s="57"/>
      <c r="M32" s="49"/>
      <c r="N32" s="5"/>
      <c r="O32" s="6"/>
      <c r="P32" s="69" t="s">
        <v>51</v>
      </c>
      <c r="Q32" s="70"/>
      <c r="R32" s="71">
        <v>518.44000000000005</v>
      </c>
      <c r="S32" s="72">
        <v>0.1512</v>
      </c>
      <c r="T32" s="72"/>
      <c r="U32" s="27"/>
      <c r="V32" s="36"/>
      <c r="W32" s="36"/>
      <c r="X32" s="36"/>
      <c r="Y32" s="36"/>
    </row>
    <row r="33" spans="1:25" ht="18">
      <c r="A33" s="58"/>
      <c r="B33" s="73" t="s">
        <v>52</v>
      </c>
      <c r="C33" s="74">
        <f>SUM(C25:C32)</f>
        <v>2767.8061017964073</v>
      </c>
      <c r="D33" s="39"/>
      <c r="E33" s="40"/>
      <c r="F33" s="5"/>
      <c r="G33" s="34"/>
      <c r="H33" s="163"/>
      <c r="I33" s="49"/>
      <c r="J33" s="5"/>
      <c r="K33" s="34"/>
      <c r="L33" s="57"/>
      <c r="M33" s="49"/>
      <c r="N33" s="5"/>
      <c r="O33" s="6"/>
      <c r="P33" s="69" t="s">
        <v>51</v>
      </c>
      <c r="Q33" s="70"/>
      <c r="R33" s="75">
        <v>1951.01</v>
      </c>
      <c r="S33" s="72">
        <v>0.16120000000000001</v>
      </c>
      <c r="T33" s="72"/>
      <c r="U33" s="27"/>
      <c r="V33" s="36"/>
      <c r="W33" s="36"/>
      <c r="X33" s="36"/>
      <c r="Y33" s="36"/>
    </row>
    <row r="34" spans="1:25">
      <c r="A34" s="58"/>
      <c r="B34" s="37" t="s">
        <v>53</v>
      </c>
      <c r="C34" s="76">
        <f>VLOOKUP($C$33,$R$49:$S$52,2,TRUE)</f>
        <v>0.3</v>
      </c>
      <c r="D34" s="39"/>
      <c r="E34" s="40"/>
      <c r="F34" s="5"/>
      <c r="G34" s="34" t="s">
        <v>54</v>
      </c>
      <c r="H34" s="56">
        <f>H26+H27+H30</f>
        <v>2448.41</v>
      </c>
      <c r="I34" s="49"/>
      <c r="J34" s="5"/>
      <c r="K34" s="34" t="s">
        <v>54</v>
      </c>
      <c r="L34" s="57">
        <f>L26+L27+L30</f>
        <v>3068.41</v>
      </c>
      <c r="M34" s="49"/>
      <c r="N34" s="5"/>
      <c r="O34" s="6"/>
      <c r="P34" s="69" t="s">
        <v>51</v>
      </c>
      <c r="Q34" s="70"/>
      <c r="R34" s="75">
        <v>2128</v>
      </c>
      <c r="S34" s="72">
        <v>0.17119999999999999</v>
      </c>
      <c r="T34" s="72"/>
      <c r="U34" s="27"/>
      <c r="V34" s="36" t="s">
        <v>55</v>
      </c>
      <c r="W34" s="36"/>
      <c r="X34" s="36"/>
      <c r="Y34" s="36"/>
    </row>
    <row r="35" spans="1:25">
      <c r="A35" s="58"/>
      <c r="B35" s="77" t="s">
        <v>56</v>
      </c>
      <c r="C35" s="78">
        <f>C33*C34</f>
        <v>830.34183053892218</v>
      </c>
      <c r="D35" s="39" t="s">
        <v>4</v>
      </c>
      <c r="E35" s="40"/>
      <c r="F35" s="5"/>
      <c r="G35" s="79"/>
      <c r="H35" s="80">
        <v>0.06</v>
      </c>
      <c r="I35" s="49">
        <f>H34*-H35</f>
        <v>-146.90459999999999</v>
      </c>
      <c r="J35" s="5"/>
      <c r="K35" s="79"/>
      <c r="L35" s="81">
        <v>0.06</v>
      </c>
      <c r="M35" s="49">
        <f>L34*-L35</f>
        <v>-184.10459999999998</v>
      </c>
      <c r="N35" s="5"/>
      <c r="O35" s="6"/>
      <c r="P35" s="69" t="s">
        <v>51</v>
      </c>
      <c r="Q35" s="70"/>
      <c r="R35" s="75">
        <v>2306</v>
      </c>
      <c r="S35" s="72">
        <v>0.1807</v>
      </c>
      <c r="T35" s="72"/>
      <c r="U35" s="27"/>
      <c r="V35" s="28"/>
      <c r="W35" s="28"/>
      <c r="X35" s="28"/>
      <c r="Y35" s="28"/>
    </row>
    <row r="36" spans="1:25">
      <c r="A36" s="82" t="s">
        <v>57</v>
      </c>
      <c r="B36" s="83" t="s">
        <v>58</v>
      </c>
      <c r="C36" s="84">
        <f>-U51</f>
        <v>-476.63</v>
      </c>
      <c r="D36" s="85"/>
      <c r="E36" s="40"/>
      <c r="F36" s="5"/>
      <c r="G36" s="86"/>
      <c r="H36" s="2"/>
      <c r="I36" s="87"/>
      <c r="J36" s="5"/>
      <c r="K36" s="86"/>
      <c r="L36" s="79"/>
      <c r="M36" s="88"/>
      <c r="N36" s="5"/>
      <c r="O36" s="6"/>
      <c r="P36" s="89" t="s">
        <v>59</v>
      </c>
      <c r="Q36" s="90"/>
      <c r="R36" s="91">
        <v>6060</v>
      </c>
      <c r="S36" s="92">
        <v>0.1812</v>
      </c>
      <c r="T36" s="92"/>
      <c r="U36" s="27"/>
      <c r="V36" s="28"/>
      <c r="W36" s="28"/>
      <c r="X36" s="28"/>
      <c r="Y36" s="28"/>
    </row>
    <row r="37" spans="1:25">
      <c r="A37" s="82"/>
      <c r="B37" s="83" t="s">
        <v>60</v>
      </c>
      <c r="C37" s="84">
        <f>B16*-E16</f>
        <v>-333.36</v>
      </c>
      <c r="D37" s="85"/>
      <c r="E37" s="40"/>
      <c r="F37" s="5"/>
      <c r="G37" s="86"/>
      <c r="H37" s="2"/>
      <c r="I37" s="87"/>
      <c r="J37" s="5"/>
      <c r="K37" s="86"/>
      <c r="L37" s="79"/>
      <c r="M37" s="88"/>
      <c r="N37" s="5"/>
      <c r="O37" s="6"/>
      <c r="P37" s="70"/>
      <c r="Q37" s="70"/>
      <c r="R37" s="75"/>
      <c r="S37" s="93"/>
      <c r="T37" s="93"/>
      <c r="U37" s="27"/>
      <c r="V37" s="28"/>
      <c r="W37" s="28"/>
      <c r="X37" s="28"/>
      <c r="Y37" s="28"/>
    </row>
    <row r="38" spans="1:25">
      <c r="A38" s="94" t="s">
        <v>61</v>
      </c>
      <c r="B38" s="95" t="s">
        <v>62</v>
      </c>
      <c r="C38" s="96">
        <f>IF(B13&gt;0,U44*-1,0)</f>
        <v>-16</v>
      </c>
      <c r="D38" s="85"/>
      <c r="E38" s="40"/>
      <c r="F38" s="5"/>
      <c r="G38" s="34"/>
      <c r="H38" s="33"/>
      <c r="I38" s="49"/>
      <c r="J38" s="5"/>
      <c r="K38" s="34"/>
      <c r="L38" s="34"/>
      <c r="M38" s="49"/>
      <c r="N38" s="5"/>
      <c r="O38" s="6"/>
      <c r="P38" s="27"/>
      <c r="Q38" s="27"/>
      <c r="R38" s="27"/>
      <c r="S38" s="27"/>
      <c r="T38" s="27"/>
      <c r="U38" s="27"/>
      <c r="V38" s="28"/>
      <c r="W38" s="28"/>
      <c r="X38" s="28"/>
      <c r="Y38" s="28"/>
    </row>
    <row r="39" spans="1:25">
      <c r="A39" s="52" t="s">
        <v>63</v>
      </c>
      <c r="B39" s="97" t="s">
        <v>64</v>
      </c>
      <c r="C39" s="98">
        <f>C35+C36+C37+C38</f>
        <v>4.3518305389221723</v>
      </c>
      <c r="D39" s="85"/>
      <c r="E39" s="47">
        <f>-C39</f>
        <v>-4.3518305389221723</v>
      </c>
      <c r="F39" s="5"/>
      <c r="G39" s="34"/>
      <c r="H39" s="33"/>
      <c r="I39" s="99"/>
      <c r="J39" s="5"/>
      <c r="K39" s="34"/>
      <c r="L39" s="34"/>
      <c r="M39" s="99"/>
      <c r="N39" s="5"/>
      <c r="O39" s="6"/>
      <c r="P39" s="166" t="s">
        <v>65</v>
      </c>
      <c r="Q39" s="174"/>
      <c r="R39" s="166" t="s">
        <v>66</v>
      </c>
      <c r="S39" s="174"/>
      <c r="T39" s="100"/>
      <c r="U39" s="101" t="s">
        <v>67</v>
      </c>
      <c r="V39" s="28"/>
      <c r="W39" s="28"/>
      <c r="X39" s="28"/>
      <c r="Y39" s="28"/>
    </row>
    <row r="40" spans="1:25">
      <c r="A40" s="58" t="s">
        <v>68</v>
      </c>
      <c r="B40" s="2"/>
      <c r="C40" s="2"/>
      <c r="D40" s="39"/>
      <c r="E40" s="102">
        <f>C31</f>
        <v>-37</v>
      </c>
      <c r="F40" s="5"/>
      <c r="G40" s="34"/>
      <c r="H40" s="33"/>
      <c r="I40" s="49"/>
      <c r="J40" s="5"/>
      <c r="K40" s="34"/>
      <c r="L40" s="34"/>
      <c r="M40" s="49"/>
      <c r="N40" s="5"/>
      <c r="O40" s="6"/>
      <c r="R40" s="103">
        <v>0</v>
      </c>
      <c r="S40" s="104">
        <v>0</v>
      </c>
      <c r="V40" s="28"/>
      <c r="W40" s="28"/>
      <c r="X40" s="28"/>
      <c r="Y40" s="28"/>
    </row>
    <row r="41" spans="1:25">
      <c r="A41" s="58" t="s">
        <v>69</v>
      </c>
      <c r="B41" s="37"/>
      <c r="C41" s="39"/>
      <c r="D41" s="39"/>
      <c r="E41" s="40">
        <f>C32</f>
        <v>-13.8</v>
      </c>
      <c r="F41" s="5"/>
      <c r="G41" s="34"/>
      <c r="H41" s="33"/>
      <c r="I41" s="49"/>
      <c r="J41" s="5"/>
      <c r="K41" s="34"/>
      <c r="L41" s="34"/>
      <c r="M41" s="49"/>
      <c r="N41" s="5"/>
      <c r="O41" s="6"/>
      <c r="P41" s="105">
        <v>0</v>
      </c>
      <c r="Q41" s="106">
        <v>0</v>
      </c>
      <c r="R41" s="105">
        <v>2</v>
      </c>
      <c r="S41" s="107">
        <v>31</v>
      </c>
      <c r="T41" s="100" t="s">
        <v>70</v>
      </c>
      <c r="U41" s="108">
        <f>B13</f>
        <v>96</v>
      </c>
      <c r="V41" s="28"/>
      <c r="W41" s="28"/>
      <c r="X41" s="28"/>
      <c r="Y41" s="28"/>
    </row>
    <row r="42" spans="1:25">
      <c r="A42" s="58" t="s">
        <v>71</v>
      </c>
      <c r="B42" s="37"/>
      <c r="C42" s="39"/>
      <c r="D42" s="39"/>
      <c r="E42" s="40">
        <f>-B17</f>
        <v>0</v>
      </c>
      <c r="F42" s="5"/>
      <c r="G42" s="34"/>
      <c r="H42" s="33"/>
      <c r="I42" s="49"/>
      <c r="J42" s="5"/>
      <c r="K42" s="34"/>
      <c r="L42" s="34"/>
      <c r="M42" s="49"/>
      <c r="N42" s="5"/>
      <c r="O42" s="6"/>
      <c r="P42" s="105">
        <v>20</v>
      </c>
      <c r="Q42" s="106">
        <v>58</v>
      </c>
      <c r="R42" s="105">
        <v>20</v>
      </c>
      <c r="S42" s="107">
        <v>123</v>
      </c>
      <c r="T42" s="100" t="s">
        <v>72</v>
      </c>
      <c r="U42" s="109">
        <v>2</v>
      </c>
      <c r="V42" s="28"/>
      <c r="W42" s="28"/>
      <c r="X42" s="28"/>
      <c r="Y42" s="28"/>
    </row>
    <row r="43" spans="1:25">
      <c r="A43" s="110" t="s">
        <v>73</v>
      </c>
      <c r="B43" s="44"/>
      <c r="C43" s="95"/>
      <c r="D43" s="95"/>
      <c r="E43" s="111">
        <f>-B18</f>
        <v>0</v>
      </c>
      <c r="F43" s="5"/>
      <c r="G43" s="34"/>
      <c r="H43" s="33"/>
      <c r="I43" s="49"/>
      <c r="J43" s="5"/>
      <c r="K43" s="34"/>
      <c r="L43" s="34"/>
      <c r="M43" s="49"/>
      <c r="N43" s="5"/>
      <c r="O43" s="6"/>
      <c r="P43" s="105">
        <v>40</v>
      </c>
      <c r="Q43" s="106">
        <v>113</v>
      </c>
      <c r="R43" s="105">
        <v>40</v>
      </c>
      <c r="S43" s="107">
        <v>214</v>
      </c>
      <c r="T43" s="100" t="s">
        <v>74</v>
      </c>
      <c r="U43" s="109">
        <f>U41*U42</f>
        <v>192</v>
      </c>
      <c r="V43" s="28"/>
      <c r="W43" s="28"/>
      <c r="X43" s="28"/>
      <c r="Y43" s="28"/>
    </row>
    <row r="44" spans="1:25">
      <c r="A44" s="112" t="s">
        <v>75</v>
      </c>
      <c r="B44" s="44"/>
      <c r="C44" s="95"/>
      <c r="D44" s="95"/>
      <c r="E44" s="113">
        <f>SUM(E25:E43)</f>
        <v>3221.312271257485</v>
      </c>
      <c r="F44" s="5"/>
      <c r="G44" s="114" t="s">
        <v>76</v>
      </c>
      <c r="H44" s="115"/>
      <c r="I44" s="116">
        <f>I21+I25+I35</f>
        <v>2921.5054</v>
      </c>
      <c r="J44" s="5"/>
      <c r="K44" s="114" t="s">
        <v>76</v>
      </c>
      <c r="L44" s="117"/>
      <c r="M44" s="116">
        <f>M21+M25+M35</f>
        <v>2884.3053999999997</v>
      </c>
      <c r="N44" s="5"/>
      <c r="O44" s="6"/>
      <c r="P44" s="118">
        <v>60</v>
      </c>
      <c r="Q44" s="119">
        <v>168</v>
      </c>
      <c r="R44" s="118">
        <v>60</v>
      </c>
      <c r="S44" s="120">
        <v>306</v>
      </c>
      <c r="T44" s="100" t="s">
        <v>77</v>
      </c>
      <c r="U44" s="121">
        <f>ROUND(U43/12,2)</f>
        <v>16</v>
      </c>
      <c r="V44" s="28"/>
      <c r="W44" s="28"/>
      <c r="X44" s="28"/>
      <c r="Y44" s="28"/>
    </row>
    <row r="45" spans="1:25">
      <c r="A45" s="6"/>
      <c r="B45" s="6"/>
      <c r="C45" s="5"/>
      <c r="D45" s="5"/>
      <c r="E45" s="5"/>
      <c r="F45" s="5"/>
      <c r="G45" s="122" t="s">
        <v>78</v>
      </c>
      <c r="H45" s="123"/>
      <c r="I45" s="124">
        <f>I44+E44</f>
        <v>6142.817671257485</v>
      </c>
      <c r="J45" s="18"/>
      <c r="K45" s="125" t="s">
        <v>78</v>
      </c>
      <c r="L45" s="122"/>
      <c r="M45" s="124">
        <f>M44+E44</f>
        <v>6105.6176712574852</v>
      </c>
      <c r="N45" s="5"/>
      <c r="O45" s="6"/>
      <c r="P45" s="27"/>
      <c r="Q45" s="27"/>
      <c r="R45" s="27"/>
      <c r="S45" s="27"/>
      <c r="T45" s="27"/>
      <c r="U45" s="27"/>
      <c r="V45" s="28"/>
      <c r="W45" s="28"/>
      <c r="X45" s="28"/>
      <c r="Y45" s="28"/>
    </row>
    <row r="46" spans="1:25">
      <c r="A46" s="6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  <c r="P46" s="175" t="s">
        <v>79</v>
      </c>
      <c r="Q46" s="176"/>
      <c r="R46" s="176"/>
      <c r="S46" s="176"/>
      <c r="T46" s="176"/>
      <c r="U46" s="176"/>
      <c r="V46" s="176"/>
      <c r="W46" s="176"/>
      <c r="X46" s="176"/>
      <c r="Y46" s="177"/>
    </row>
    <row r="47" spans="1:25" ht="26">
      <c r="A47" s="126" t="s">
        <v>80</v>
      </c>
      <c r="B47" s="127" t="s">
        <v>81</v>
      </c>
      <c r="C47" s="128" t="s">
        <v>82</v>
      </c>
      <c r="D47" s="128" t="s">
        <v>83</v>
      </c>
      <c r="E47" s="128" t="s">
        <v>84</v>
      </c>
      <c r="F47" s="2"/>
      <c r="G47" s="5"/>
      <c r="H47" s="5"/>
      <c r="I47" s="5"/>
      <c r="J47" s="5"/>
      <c r="K47" s="5"/>
      <c r="L47" s="5"/>
      <c r="M47" s="5"/>
      <c r="N47" s="5"/>
      <c r="O47" s="6"/>
      <c r="P47" s="178" t="s">
        <v>85</v>
      </c>
      <c r="Q47" s="179"/>
      <c r="R47" s="180"/>
      <c r="S47" s="181" t="s">
        <v>86</v>
      </c>
      <c r="T47" s="129" t="s">
        <v>87</v>
      </c>
      <c r="U47" s="183" t="s">
        <v>88</v>
      </c>
      <c r="V47" s="184"/>
      <c r="W47" s="184"/>
      <c r="X47" s="184"/>
      <c r="Y47" s="185"/>
    </row>
    <row r="48" spans="1:25">
      <c r="A48" s="127" t="s">
        <v>153</v>
      </c>
      <c r="B48" s="130">
        <v>3.9E-2</v>
      </c>
      <c r="C48" s="128">
        <f>E21</f>
        <v>3700</v>
      </c>
      <c r="D48" s="131">
        <f>B48*C48</f>
        <v>144.30000000000001</v>
      </c>
      <c r="E48" s="128" t="s">
        <v>90</v>
      </c>
      <c r="F48" s="2"/>
      <c r="G48" s="5"/>
      <c r="H48" s="5"/>
      <c r="I48" s="5"/>
      <c r="J48" s="5"/>
      <c r="K48" s="5"/>
      <c r="L48" s="5"/>
      <c r="M48" s="5"/>
      <c r="N48" s="5"/>
      <c r="P48" s="132"/>
      <c r="Q48" s="132"/>
      <c r="R48" s="132" t="s">
        <v>83</v>
      </c>
      <c r="S48" s="182"/>
      <c r="T48" s="133" t="s">
        <v>91</v>
      </c>
      <c r="U48" s="134">
        <v>1</v>
      </c>
      <c r="V48" s="134">
        <v>2</v>
      </c>
      <c r="W48" s="134">
        <v>3</v>
      </c>
      <c r="X48" s="134">
        <v>4</v>
      </c>
      <c r="Y48" s="134">
        <v>5</v>
      </c>
    </row>
    <row r="49" spans="1:25">
      <c r="A49" s="127" t="s">
        <v>152</v>
      </c>
      <c r="B49" s="130">
        <v>3.5999999999999999E-3</v>
      </c>
      <c r="C49" s="128">
        <f>E21</f>
        <v>3700</v>
      </c>
      <c r="D49" s="131">
        <f>B49*C49</f>
        <v>13.32</v>
      </c>
      <c r="E49" s="128" t="s">
        <v>90</v>
      </c>
      <c r="F49" s="2">
        <v>2850</v>
      </c>
      <c r="G49" s="5">
        <v>9.69</v>
      </c>
      <c r="H49" s="135">
        <f>G49/F49</f>
        <v>3.3999999999999998E-3</v>
      </c>
      <c r="I49" s="5"/>
      <c r="J49" s="5"/>
      <c r="K49" s="5"/>
      <c r="L49" s="5"/>
      <c r="M49" s="5"/>
      <c r="N49" s="5">
        <f>412.18+33.33</f>
        <v>445.51</v>
      </c>
      <c r="P49" s="136"/>
      <c r="Q49" s="137" t="s">
        <v>51</v>
      </c>
      <c r="R49" s="138">
        <v>0</v>
      </c>
      <c r="S49" s="139">
        <v>0</v>
      </c>
      <c r="T49" s="140">
        <v>0</v>
      </c>
      <c r="U49" s="141">
        <v>0</v>
      </c>
      <c r="V49" s="141">
        <v>0</v>
      </c>
      <c r="W49" s="141">
        <v>0</v>
      </c>
      <c r="X49" s="141">
        <v>0</v>
      </c>
      <c r="Y49" s="141">
        <v>0</v>
      </c>
    </row>
    <row r="50" spans="1:25">
      <c r="A50" s="127" t="s">
        <v>93</v>
      </c>
      <c r="B50" s="142">
        <v>0.03</v>
      </c>
      <c r="C50" s="128">
        <f>E21</f>
        <v>3700</v>
      </c>
      <c r="D50" s="131">
        <f>B50*C50</f>
        <v>111</v>
      </c>
      <c r="E50" s="128" t="s">
        <v>94</v>
      </c>
      <c r="F50" s="2"/>
      <c r="G50" s="5"/>
      <c r="H50" s="5"/>
      <c r="I50" s="5"/>
      <c r="J50" s="5"/>
      <c r="K50" s="5"/>
      <c r="L50" s="5"/>
      <c r="M50" s="5"/>
      <c r="N50" s="5"/>
      <c r="O50" s="6"/>
      <c r="P50" s="137"/>
      <c r="Q50" s="137" t="s">
        <v>51</v>
      </c>
      <c r="R50" s="137">
        <v>1079.01</v>
      </c>
      <c r="S50" s="139">
        <v>0.2</v>
      </c>
      <c r="T50" s="143">
        <v>254.38</v>
      </c>
      <c r="U50" s="144">
        <v>302.05</v>
      </c>
      <c r="V50" s="144">
        <v>318.88</v>
      </c>
      <c r="W50" s="144">
        <v>340.13</v>
      </c>
      <c r="X50" s="144">
        <v>361.28</v>
      </c>
      <c r="Y50" s="144">
        <v>382.62</v>
      </c>
    </row>
    <row r="51" spans="1:25">
      <c r="A51" s="127" t="s">
        <v>95</v>
      </c>
      <c r="B51" s="145">
        <v>2</v>
      </c>
      <c r="C51" s="146">
        <v>5</v>
      </c>
      <c r="D51" s="131">
        <f>B51*C51</f>
        <v>10</v>
      </c>
      <c r="E51" s="128" t="s">
        <v>94</v>
      </c>
      <c r="F51" s="2"/>
      <c r="G51" s="5"/>
      <c r="H51" s="5"/>
      <c r="I51" s="5"/>
      <c r="J51" s="5"/>
      <c r="K51" s="5"/>
      <c r="L51" s="5"/>
      <c r="M51" s="5"/>
      <c r="N51" s="5"/>
      <c r="O51" s="6"/>
      <c r="P51" s="137"/>
      <c r="Q51" s="137" t="s">
        <v>51</v>
      </c>
      <c r="R51" s="137">
        <v>1745.84</v>
      </c>
      <c r="S51" s="139">
        <v>0.3</v>
      </c>
      <c r="T51" s="143">
        <v>428.96</v>
      </c>
      <c r="U51" s="144">
        <v>476.63</v>
      </c>
      <c r="V51" s="144">
        <v>493.46</v>
      </c>
      <c r="W51" s="144">
        <v>514.71</v>
      </c>
      <c r="X51" s="144">
        <v>535.96</v>
      </c>
      <c r="Y51" s="144">
        <v>557.21</v>
      </c>
    </row>
    <row r="52" spans="1:25">
      <c r="A52" s="127" t="s">
        <v>96</v>
      </c>
      <c r="B52" s="147">
        <v>0.20979999999999999</v>
      </c>
      <c r="C52" s="128">
        <f>E21</f>
        <v>3700</v>
      </c>
      <c r="D52" s="131">
        <f>B52*C52</f>
        <v>776.26</v>
      </c>
      <c r="E52" s="128" t="s">
        <v>97</v>
      </c>
      <c r="F52" s="2"/>
      <c r="H52" s="5"/>
      <c r="I52" s="5"/>
      <c r="J52" s="5"/>
      <c r="K52" s="5"/>
      <c r="L52" s="5"/>
      <c r="M52" s="5"/>
      <c r="N52" s="5"/>
      <c r="P52" s="148"/>
      <c r="Q52" s="137" t="s">
        <v>51</v>
      </c>
      <c r="R52" s="137">
        <v>2887.09</v>
      </c>
      <c r="S52" s="139">
        <v>0.41</v>
      </c>
      <c r="T52" s="143">
        <v>717.67</v>
      </c>
      <c r="U52" s="144">
        <v>765.17</v>
      </c>
      <c r="V52" s="144">
        <v>782.17</v>
      </c>
      <c r="W52" s="144">
        <v>803.42</v>
      </c>
      <c r="X52" s="144">
        <v>824.67</v>
      </c>
      <c r="Y52" s="144">
        <v>845.92</v>
      </c>
    </row>
    <row r="53" spans="1:25">
      <c r="A53" s="2"/>
      <c r="B53" s="2"/>
      <c r="C53" s="2"/>
      <c r="D53" s="2"/>
      <c r="E53" s="2"/>
      <c r="F53" s="2"/>
      <c r="G53">
        <v>679.36</v>
      </c>
      <c r="H53" s="5">
        <v>3200</v>
      </c>
      <c r="I53" s="135">
        <f>G53/H53</f>
        <v>0.21230000000000002</v>
      </c>
      <c r="J53" s="5"/>
      <c r="K53" s="5"/>
      <c r="L53" s="5"/>
      <c r="M53" s="5"/>
      <c r="N53" s="5"/>
      <c r="P53" s="148"/>
      <c r="Q53" s="137" t="s">
        <v>51</v>
      </c>
      <c r="R53" s="137">
        <v>5562.01</v>
      </c>
      <c r="S53" s="139">
        <v>0.48</v>
      </c>
      <c r="T53" s="143">
        <v>1162.6300000000001</v>
      </c>
      <c r="U53" s="144">
        <v>1210.3</v>
      </c>
      <c r="V53" s="144">
        <v>1227.1300000000001</v>
      </c>
      <c r="W53" s="144">
        <v>1248.3800000000001</v>
      </c>
      <c r="X53" s="144">
        <v>1269.6300000000001</v>
      </c>
      <c r="Y53" s="144">
        <v>1290.8800000000001</v>
      </c>
    </row>
    <row r="54" spans="1:25">
      <c r="A54" s="2"/>
      <c r="B54" s="97" t="s">
        <v>98</v>
      </c>
      <c r="C54" s="2"/>
      <c r="D54" s="2"/>
      <c r="E54" s="2"/>
      <c r="F54" s="2"/>
      <c r="G54" s="149" t="s">
        <v>99</v>
      </c>
      <c r="H54" s="5"/>
      <c r="I54" s="5"/>
      <c r="J54" s="5"/>
      <c r="K54" s="150" t="s">
        <v>100</v>
      </c>
      <c r="L54" s="5"/>
      <c r="M54" s="5"/>
      <c r="N54" s="5"/>
      <c r="P54" s="148"/>
      <c r="Q54" s="137" t="s">
        <v>51</v>
      </c>
      <c r="R54" s="137">
        <v>8283.18</v>
      </c>
      <c r="S54" s="139">
        <v>0.5</v>
      </c>
      <c r="T54" s="143">
        <v>1328.3</v>
      </c>
      <c r="U54" s="144">
        <v>1375.97</v>
      </c>
      <c r="V54" s="144">
        <v>1392.8</v>
      </c>
      <c r="W54" s="144">
        <v>1414.05</v>
      </c>
      <c r="X54" s="144">
        <v>1435.3</v>
      </c>
      <c r="Y54" s="144">
        <v>1456.55</v>
      </c>
    </row>
    <row r="55" spans="1:25">
      <c r="B55" s="151" t="s">
        <v>101</v>
      </c>
      <c r="C55" s="152">
        <f>E25</f>
        <v>3999.1017964071857</v>
      </c>
      <c r="D55" s="151"/>
      <c r="E55" s="5"/>
      <c r="F55" s="5"/>
      <c r="G55" s="151" t="s">
        <v>102</v>
      </c>
      <c r="H55" s="152">
        <f>I21</f>
        <v>3700</v>
      </c>
      <c r="I55" s="151"/>
      <c r="J55" s="5"/>
      <c r="K55" s="151" t="s">
        <v>102</v>
      </c>
      <c r="L55" s="152">
        <f>M21</f>
        <v>3700</v>
      </c>
      <c r="M55" s="151"/>
      <c r="N55" s="5"/>
      <c r="P55" s="148"/>
      <c r="Q55" s="137" t="s">
        <v>51</v>
      </c>
      <c r="R55" s="137">
        <v>83344.34</v>
      </c>
      <c r="S55" s="139">
        <v>0.55000000000000004</v>
      </c>
      <c r="T55" s="143">
        <v>5495.51</v>
      </c>
      <c r="U55" s="144">
        <v>5543.18</v>
      </c>
      <c r="V55" s="144">
        <v>5560.01</v>
      </c>
      <c r="W55" s="144">
        <v>5581.26</v>
      </c>
      <c r="X55" s="144">
        <v>5602.51</v>
      </c>
      <c r="Y55" s="144">
        <v>5623.76</v>
      </c>
    </row>
    <row r="56" spans="1:25">
      <c r="A56" s="2"/>
      <c r="B56" s="151" t="s">
        <v>103</v>
      </c>
      <c r="C56" s="151"/>
      <c r="D56" s="152">
        <f>E26*-1</f>
        <v>722.63769461077845</v>
      </c>
      <c r="E56" s="5"/>
      <c r="F56" s="5"/>
      <c r="G56" s="151" t="s">
        <v>104</v>
      </c>
      <c r="H56" s="151"/>
      <c r="I56" s="152">
        <f>I25*-1</f>
        <v>631.58999999999992</v>
      </c>
      <c r="J56" s="5" t="s">
        <v>4</v>
      </c>
      <c r="K56" s="151" t="s">
        <v>104</v>
      </c>
      <c r="L56" s="151"/>
      <c r="M56" s="152">
        <f>M25*-1</f>
        <v>631.58999999999992</v>
      </c>
      <c r="N56" s="5"/>
    </row>
    <row r="57" spans="1:25">
      <c r="A57" s="2"/>
      <c r="B57" s="151" t="s">
        <v>105</v>
      </c>
      <c r="C57" s="151"/>
      <c r="D57" s="152">
        <f>E39*-1</f>
        <v>4.3518305389221723</v>
      </c>
      <c r="E57" s="5"/>
      <c r="F57" s="5"/>
      <c r="G57" s="151" t="s">
        <v>106</v>
      </c>
      <c r="H57" s="151"/>
      <c r="I57" s="152">
        <f>I35*-1</f>
        <v>146.90459999999999</v>
      </c>
      <c r="J57" s="5"/>
      <c r="K57" s="151" t="s">
        <v>106</v>
      </c>
      <c r="L57" s="151"/>
      <c r="M57" s="152">
        <f>M35*-1</f>
        <v>184.10459999999998</v>
      </c>
      <c r="N57" s="5"/>
    </row>
    <row r="58" spans="1:25">
      <c r="A58" s="2"/>
      <c r="B58" s="151" t="s">
        <v>107</v>
      </c>
      <c r="C58" s="151"/>
      <c r="D58" s="152">
        <f>E40*-1</f>
        <v>37</v>
      </c>
      <c r="E58" s="5"/>
      <c r="F58" s="5"/>
      <c r="G58" s="153"/>
      <c r="H58" s="153"/>
      <c r="I58" s="153"/>
      <c r="J58" s="5"/>
      <c r="K58" s="153"/>
      <c r="L58" s="153"/>
      <c r="M58" s="153"/>
      <c r="N58" s="5"/>
    </row>
    <row r="59" spans="1:25">
      <c r="A59" s="2"/>
      <c r="B59" s="151" t="s">
        <v>107</v>
      </c>
      <c r="C59" s="151"/>
      <c r="D59" s="152">
        <f>E41*-1</f>
        <v>13.8</v>
      </c>
      <c r="E59" s="5"/>
      <c r="F59" s="5"/>
      <c r="G59" s="153" t="s">
        <v>108</v>
      </c>
      <c r="H59" s="153"/>
      <c r="I59" s="153"/>
      <c r="J59" s="5"/>
      <c r="K59" s="153" t="s">
        <v>108</v>
      </c>
      <c r="L59" s="153"/>
      <c r="M59" s="153"/>
      <c r="N59" s="5"/>
      <c r="O59" s="6"/>
    </row>
    <row r="60" spans="1:25">
      <c r="A60" s="2"/>
      <c r="B60" s="151" t="s">
        <v>109</v>
      </c>
      <c r="C60" s="151"/>
      <c r="D60" s="152">
        <f>E44</f>
        <v>3221.312271257485</v>
      </c>
      <c r="E60" s="5"/>
      <c r="F60" s="5"/>
      <c r="G60" s="151" t="s">
        <v>110</v>
      </c>
      <c r="H60" s="151"/>
      <c r="I60" s="152">
        <f>I44</f>
        <v>2921.5054</v>
      </c>
      <c r="J60" s="5"/>
      <c r="K60" s="151" t="s">
        <v>110</v>
      </c>
      <c r="L60" s="151"/>
      <c r="M60" s="152">
        <f>M44</f>
        <v>2884.3053999999997</v>
      </c>
      <c r="N60" s="5"/>
      <c r="O60" s="1" t="s">
        <v>111</v>
      </c>
      <c r="P60" s="35"/>
      <c r="R60" s="35"/>
      <c r="S60" s="35"/>
      <c r="T60" s="35"/>
    </row>
    <row r="61" spans="1:25">
      <c r="A61" s="2"/>
      <c r="B61" s="2"/>
      <c r="C61" s="2"/>
      <c r="D61" s="2"/>
      <c r="E61" s="2"/>
      <c r="F61" s="2"/>
      <c r="H61" s="5"/>
      <c r="I61" s="5"/>
      <c r="J61" s="5"/>
      <c r="K61" s="5"/>
      <c r="L61" s="5"/>
      <c r="M61" s="5"/>
      <c r="N61" s="5"/>
      <c r="O61" s="6" t="s">
        <v>112</v>
      </c>
      <c r="P61" t="s">
        <v>113</v>
      </c>
    </row>
    <row r="62" spans="1:25">
      <c r="A62" s="2"/>
      <c r="B62" s="151" t="s">
        <v>114</v>
      </c>
      <c r="C62" s="154">
        <f>D52</f>
        <v>776.26</v>
      </c>
      <c r="D62" s="151"/>
      <c r="E62" s="2"/>
      <c r="F62" s="2"/>
      <c r="H62" s="5"/>
      <c r="I62" s="5"/>
      <c r="J62" s="5"/>
      <c r="K62" s="5" t="s">
        <v>4</v>
      </c>
      <c r="L62" s="5"/>
      <c r="M62" s="5"/>
      <c r="N62" s="5"/>
      <c r="O62" t="s">
        <v>115</v>
      </c>
      <c r="P62" t="s">
        <v>116</v>
      </c>
    </row>
    <row r="63" spans="1:25">
      <c r="A63" s="2"/>
      <c r="B63" s="151" t="s">
        <v>117</v>
      </c>
      <c r="C63" s="151"/>
      <c r="D63" s="154">
        <f>D52</f>
        <v>776.26</v>
      </c>
      <c r="E63" s="2"/>
      <c r="F63" s="2"/>
      <c r="H63" s="5"/>
      <c r="I63" s="5"/>
      <c r="J63" s="5"/>
      <c r="K63" s="5"/>
      <c r="L63" s="5"/>
      <c r="M63" s="5"/>
      <c r="N63" s="5"/>
      <c r="O63" t="s">
        <v>118</v>
      </c>
      <c r="P63" t="s">
        <v>119</v>
      </c>
    </row>
    <row r="64" spans="1:25">
      <c r="B64" s="2"/>
      <c r="C64" s="2"/>
      <c r="D64" s="2"/>
      <c r="H64" s="5"/>
      <c r="I64" s="5"/>
      <c r="J64" s="5"/>
      <c r="K64" s="5"/>
      <c r="L64" s="5"/>
      <c r="M64" s="5"/>
      <c r="N64" s="5"/>
      <c r="O64" t="s">
        <v>120</v>
      </c>
      <c r="P64" t="s">
        <v>121</v>
      </c>
    </row>
    <row r="65" spans="2:19">
      <c r="B65" s="151" t="s">
        <v>122</v>
      </c>
      <c r="C65" s="154">
        <f>D48</f>
        <v>144.30000000000001</v>
      </c>
      <c r="D65" s="151"/>
      <c r="H65" s="5"/>
      <c r="I65" s="5"/>
      <c r="J65" s="5"/>
      <c r="K65" s="5"/>
      <c r="L65" s="5"/>
      <c r="M65" s="5"/>
      <c r="N65" s="5"/>
      <c r="O65" t="s">
        <v>123</v>
      </c>
      <c r="P65" t="s">
        <v>113</v>
      </c>
    </row>
    <row r="66" spans="2:19">
      <c r="B66" s="151" t="s">
        <v>124</v>
      </c>
      <c r="C66" s="154">
        <f>D49</f>
        <v>13.32</v>
      </c>
      <c r="D66" s="151"/>
      <c r="H66" s="5"/>
      <c r="I66" s="5"/>
      <c r="J66" s="5"/>
      <c r="K66" s="5"/>
      <c r="L66" s="5"/>
      <c r="M66" s="5"/>
      <c r="N66" s="5"/>
      <c r="O66" t="s">
        <v>125</v>
      </c>
      <c r="P66" t="s">
        <v>126</v>
      </c>
    </row>
    <row r="67" spans="2:19">
      <c r="B67" s="151" t="s">
        <v>106</v>
      </c>
      <c r="C67" s="151"/>
      <c r="D67" s="155">
        <f>C65+C66</f>
        <v>157.62</v>
      </c>
      <c r="H67" s="5"/>
      <c r="I67" s="5"/>
      <c r="J67" s="5"/>
      <c r="K67" s="5"/>
      <c r="L67" s="5"/>
      <c r="M67" s="5"/>
      <c r="N67" s="5"/>
      <c r="O67" t="s">
        <v>86</v>
      </c>
      <c r="P67" t="s">
        <v>113</v>
      </c>
    </row>
    <row r="68" spans="2:19">
      <c r="B68" s="2"/>
      <c r="C68" s="2"/>
      <c r="D68" s="2"/>
      <c r="H68" s="5"/>
      <c r="I68" s="5"/>
      <c r="J68" s="5"/>
      <c r="K68" s="5"/>
      <c r="L68" s="5"/>
      <c r="M68" s="5"/>
      <c r="N68" s="5"/>
      <c r="O68" t="s">
        <v>127</v>
      </c>
      <c r="P68" t="s">
        <v>121</v>
      </c>
    </row>
    <row r="69" spans="2:19">
      <c r="B69" s="151" t="s">
        <v>128</v>
      </c>
      <c r="C69" s="154">
        <f>D50</f>
        <v>111</v>
      </c>
      <c r="D69" s="151"/>
      <c r="H69" s="5"/>
      <c r="I69" s="5"/>
      <c r="J69" s="5"/>
      <c r="K69" s="5"/>
      <c r="L69" s="5"/>
      <c r="M69" s="5"/>
      <c r="N69" s="5"/>
      <c r="O69" t="s">
        <v>129</v>
      </c>
      <c r="P69" t="s">
        <v>121</v>
      </c>
    </row>
    <row r="70" spans="2:19">
      <c r="B70" s="151" t="s">
        <v>130</v>
      </c>
      <c r="C70" s="154">
        <f>D51</f>
        <v>10</v>
      </c>
      <c r="D70" s="151"/>
      <c r="H70" s="5"/>
      <c r="I70" s="5"/>
      <c r="J70" s="5"/>
      <c r="K70" s="5"/>
      <c r="L70" s="5"/>
      <c r="M70" s="5"/>
      <c r="N70" s="5"/>
    </row>
    <row r="71" spans="2:19">
      <c r="B71" s="151" t="s">
        <v>131</v>
      </c>
      <c r="C71" s="151"/>
      <c r="D71" s="155">
        <f>C69+C70</f>
        <v>121</v>
      </c>
      <c r="H71" s="5"/>
      <c r="I71" s="5"/>
      <c r="J71" s="5"/>
      <c r="K71" s="5"/>
      <c r="L71" s="5"/>
      <c r="M71" s="5"/>
      <c r="N71" s="5"/>
      <c r="P71" s="27" t="s">
        <v>132</v>
      </c>
      <c r="Q71" s="27"/>
      <c r="R71" s="27"/>
      <c r="S71" s="27"/>
    </row>
    <row r="72" spans="2:19">
      <c r="H72" s="5"/>
      <c r="I72" s="5"/>
      <c r="J72" s="5"/>
      <c r="K72" s="5"/>
      <c r="L72" s="5"/>
      <c r="M72" s="5"/>
      <c r="N72" s="5"/>
      <c r="P72" s="166" t="s">
        <v>133</v>
      </c>
      <c r="Q72" s="167"/>
      <c r="R72" s="167"/>
      <c r="S72" s="64" t="s">
        <v>134</v>
      </c>
    </row>
    <row r="73" spans="2:19">
      <c r="H73" s="5"/>
      <c r="I73" s="5"/>
      <c r="J73" s="5"/>
      <c r="K73" s="5"/>
      <c r="L73" s="5"/>
      <c r="M73" s="5"/>
      <c r="N73" s="5"/>
      <c r="P73" s="168" t="s">
        <v>135</v>
      </c>
      <c r="Q73" s="169"/>
      <c r="R73" s="36">
        <v>0</v>
      </c>
      <c r="S73" s="156">
        <v>0</v>
      </c>
    </row>
    <row r="74" spans="2:19">
      <c r="H74" s="5"/>
      <c r="I74" s="5"/>
      <c r="J74" s="5"/>
      <c r="K74" s="5"/>
      <c r="L74" s="5"/>
      <c r="M74" s="5"/>
      <c r="N74" s="5"/>
      <c r="P74" s="170" t="s">
        <v>51</v>
      </c>
      <c r="Q74" s="171"/>
      <c r="R74" s="157">
        <v>620</v>
      </c>
      <c r="S74" s="72">
        <v>0.06</v>
      </c>
    </row>
    <row r="75" spans="2:19">
      <c r="H75" s="5"/>
      <c r="I75" s="5"/>
      <c r="J75" s="5"/>
      <c r="K75" s="5"/>
      <c r="L75" s="5"/>
      <c r="M75" s="5"/>
      <c r="N75" s="5"/>
      <c r="P75" s="170" t="s">
        <v>51</v>
      </c>
      <c r="Q75" s="171"/>
      <c r="R75" s="158">
        <v>25000</v>
      </c>
      <c r="S75" s="159">
        <v>0.27</v>
      </c>
    </row>
    <row r="76" spans="2:19">
      <c r="H76" s="5"/>
      <c r="I76" s="5"/>
      <c r="J76" s="5"/>
      <c r="K76" s="5"/>
      <c r="L76" s="5"/>
      <c r="M76" s="5"/>
      <c r="N76" s="5"/>
      <c r="P76" s="170" t="s">
        <v>51</v>
      </c>
      <c r="Q76" s="171"/>
      <c r="R76" s="158">
        <f>R75+25000</f>
        <v>50000</v>
      </c>
      <c r="S76" s="159">
        <v>0.35749999999999998</v>
      </c>
    </row>
    <row r="77" spans="2:19">
      <c r="H77" s="5"/>
      <c r="I77" s="5"/>
      <c r="J77" s="5"/>
      <c r="K77" s="5"/>
      <c r="L77" s="5"/>
      <c r="M77" s="5"/>
      <c r="N77" s="5"/>
      <c r="P77" s="170" t="s">
        <v>51</v>
      </c>
      <c r="Q77" s="171"/>
      <c r="R77" s="158">
        <f>R76+33333</f>
        <v>83333</v>
      </c>
      <c r="S77" s="159">
        <v>0.5</v>
      </c>
    </row>
    <row r="78" spans="2:19">
      <c r="H78" s="5"/>
      <c r="I78" s="5"/>
      <c r="J78" s="5"/>
      <c r="K78" s="5"/>
      <c r="L78" s="5"/>
      <c r="M78" s="5"/>
      <c r="N78" s="5"/>
      <c r="P78" s="164"/>
      <c r="Q78" s="165"/>
      <c r="R78" s="160"/>
      <c r="S78" s="161"/>
    </row>
    <row r="79" spans="2:19">
      <c r="H79" s="5"/>
      <c r="I79" s="5"/>
      <c r="J79" s="5"/>
      <c r="K79" s="5"/>
      <c r="L79" s="5"/>
      <c r="M79" s="5"/>
      <c r="N79" s="5"/>
    </row>
    <row r="80" spans="2:19">
      <c r="H80" s="5"/>
      <c r="I80" s="5"/>
      <c r="J80" s="5"/>
      <c r="K80" s="5"/>
      <c r="L80" s="5"/>
      <c r="M80" s="5"/>
      <c r="N80" s="5"/>
    </row>
    <row r="81" spans="8:14">
      <c r="H81" s="5"/>
      <c r="I81" s="5"/>
      <c r="J81" s="5"/>
      <c r="K81" s="5"/>
      <c r="L81" s="5"/>
      <c r="M81" s="5"/>
      <c r="N81" s="5"/>
    </row>
  </sheetData>
  <mergeCells count="14">
    <mergeCell ref="P78:Q78"/>
    <mergeCell ref="P72:R72"/>
    <mergeCell ref="P73:Q73"/>
    <mergeCell ref="P74:Q74"/>
    <mergeCell ref="P75:Q75"/>
    <mergeCell ref="P76:Q76"/>
    <mergeCell ref="P77:Q77"/>
    <mergeCell ref="L20:M20"/>
    <mergeCell ref="P39:Q39"/>
    <mergeCell ref="R39:S39"/>
    <mergeCell ref="P46:Y46"/>
    <mergeCell ref="P47:R47"/>
    <mergeCell ref="S47:S48"/>
    <mergeCell ref="U47:Y4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Ramic 2023</vt:lpstr>
      <vt:lpstr>Bertl St.</vt:lpstr>
      <vt:lpstr>Max Schr</vt:lpstr>
      <vt:lpstr>'Ramic 2023'!Druckbereich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HOLZHEU Werner</cp:lastModifiedBy>
  <cp:lastPrinted>2024-01-10T06:31:24Z</cp:lastPrinted>
  <dcterms:created xsi:type="dcterms:W3CDTF">2023-04-10T19:09:26Z</dcterms:created>
  <dcterms:modified xsi:type="dcterms:W3CDTF">2024-01-14T19:25:54Z</dcterms:modified>
</cp:coreProperties>
</file>