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8_{38FE8EBF-C668-DA46-AB33-A0B81E896646}" xr6:coauthVersionLast="47" xr6:coauthVersionMax="47" xr10:uidLastSave="{00000000-0000-0000-0000-000000000000}"/>
  <bookViews>
    <workbookView xWindow="20" yWindow="980" windowWidth="25580" windowHeight="15480" xr2:uid="{D05023BF-CE34-F34F-9934-9058ACA521F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0" i="1" l="1"/>
  <c r="C78" i="1"/>
  <c r="F82" i="1"/>
  <c r="G82" i="1" s="1"/>
  <c r="D82" i="1"/>
  <c r="C79" i="1"/>
  <c r="G65" i="1"/>
  <c r="H65" i="1"/>
  <c r="I68" i="1"/>
  <c r="I67" i="1"/>
  <c r="I66" i="1"/>
  <c r="H66" i="1"/>
  <c r="C68" i="1"/>
  <c r="C67" i="1"/>
  <c r="C66" i="1"/>
  <c r="C65" i="1"/>
  <c r="G53" i="1"/>
  <c r="H53" i="1"/>
  <c r="H54" i="1"/>
  <c r="H55" i="1"/>
  <c r="H56" i="1"/>
  <c r="H57" i="1"/>
  <c r="C58" i="1"/>
  <c r="C57" i="1"/>
  <c r="C56" i="1"/>
  <c r="C55" i="1"/>
  <c r="C54" i="1"/>
  <c r="C53" i="1"/>
  <c r="E28" i="1"/>
  <c r="B28" i="1"/>
  <c r="E27" i="1"/>
  <c r="B27" i="1"/>
  <c r="E11" i="1"/>
  <c r="D11" i="1"/>
  <c r="D44" i="1"/>
  <c r="D43" i="1"/>
  <c r="D42" i="1"/>
  <c r="D41" i="1"/>
  <c r="D40" i="1"/>
  <c r="D39" i="1"/>
  <c r="D38" i="1"/>
  <c r="B8" i="1"/>
  <c r="D20" i="1" s="1"/>
  <c r="G7" i="1"/>
  <c r="F7" i="1"/>
  <c r="E7" i="1"/>
  <c r="D7" i="1"/>
  <c r="C7" i="1"/>
  <c r="G5" i="1"/>
  <c r="F5" i="1"/>
  <c r="E5" i="1"/>
  <c r="D5" i="1"/>
  <c r="C5" i="1"/>
  <c r="G4" i="1"/>
  <c r="F4" i="1"/>
  <c r="E4" i="1"/>
  <c r="D4" i="1"/>
  <c r="C4" i="1"/>
  <c r="F3" i="1"/>
  <c r="F2" i="1"/>
  <c r="F11" i="1" l="1"/>
  <c r="D19" i="1" s="1"/>
  <c r="D21" i="1" s="1"/>
  <c r="F8" i="1"/>
  <c r="D8" i="1"/>
  <c r="C8" i="1"/>
  <c r="G8" i="1"/>
  <c r="E8" i="1"/>
  <c r="D47" i="1"/>
  <c r="D48" i="1" s="1"/>
  <c r="D9" i="1" l="1"/>
  <c r="E9" i="1"/>
  <c r="E10" i="1" s="1"/>
  <c r="E12" i="1" s="1"/>
  <c r="C15" i="1" s="1"/>
  <c r="G9" i="1"/>
  <c r="G10" i="1" s="1"/>
  <c r="G12" i="1" s="1"/>
  <c r="C9" i="1"/>
  <c r="C10" i="1" s="1"/>
  <c r="F9" i="1"/>
  <c r="F10" i="1" s="1"/>
  <c r="F12" i="1" s="1"/>
  <c r="D10" i="1"/>
  <c r="D12" i="1" s="1"/>
  <c r="C14" i="1" s="1"/>
  <c r="H9" i="1" l="1"/>
</calcChain>
</file>

<file path=xl/sharedStrings.xml><?xml version="1.0" encoding="utf-8"?>
<sst xmlns="http://schemas.openxmlformats.org/spreadsheetml/2006/main" count="119" uniqueCount="87">
  <si>
    <t>Summen</t>
  </si>
  <si>
    <t>Verwaltung</t>
  </si>
  <si>
    <t xml:space="preserve">Küche </t>
  </si>
  <si>
    <t>Keller</t>
  </si>
  <si>
    <t>Restaurant</t>
  </si>
  <si>
    <t>Logis</t>
  </si>
  <si>
    <t>Umlage Verwaltung</t>
  </si>
  <si>
    <t>Zuschlagsbasen</t>
  </si>
  <si>
    <t>LM-Einsatz</t>
  </si>
  <si>
    <t>Getränke Einsatz</t>
  </si>
  <si>
    <t>Energiekosten</t>
  </si>
  <si>
    <t>Personalkosten</t>
  </si>
  <si>
    <t>Diverse Kosten</t>
  </si>
  <si>
    <t>Kalk. Kosten</t>
  </si>
  <si>
    <t>GK Summe II</t>
  </si>
  <si>
    <t>GKZ, Selbstkosten</t>
  </si>
  <si>
    <t>Nächtigungen</t>
  </si>
  <si>
    <t>%</t>
  </si>
  <si>
    <t>GKZ Speisen</t>
  </si>
  <si>
    <t>GKZ Getränke</t>
  </si>
  <si>
    <t>Betriebserfolg</t>
  </si>
  <si>
    <t>c)</t>
  </si>
  <si>
    <t>d)</t>
  </si>
  <si>
    <t>Speisen</t>
  </si>
  <si>
    <t>Getränke</t>
  </si>
  <si>
    <t>Erlöse</t>
  </si>
  <si>
    <t>WES</t>
  </si>
  <si>
    <t xml:space="preserve"> + NRA</t>
  </si>
  <si>
    <t>NVP</t>
  </si>
  <si>
    <t>NRA in EUR</t>
  </si>
  <si>
    <t>NRA in %</t>
  </si>
  <si>
    <t>Kalkulation Wiener Schnitzel</t>
  </si>
  <si>
    <t>Menge</t>
  </si>
  <si>
    <t>Ware</t>
  </si>
  <si>
    <t>Preis</t>
  </si>
  <si>
    <t>Lösung</t>
  </si>
  <si>
    <t>2,5 kg</t>
  </si>
  <si>
    <t>Schnitzelfleisch</t>
  </si>
  <si>
    <t>800 g</t>
  </si>
  <si>
    <t>Fett</t>
  </si>
  <si>
    <t xml:space="preserve"> 150 g</t>
  </si>
  <si>
    <t>Butter</t>
  </si>
  <si>
    <t>4 Stk.</t>
  </si>
  <si>
    <t>Zitrone</t>
  </si>
  <si>
    <t>0,3 kg</t>
  </si>
  <si>
    <t>Brösel</t>
  </si>
  <si>
    <t>120 g</t>
  </si>
  <si>
    <t>Mehl</t>
  </si>
  <si>
    <t>11 Stk.</t>
  </si>
  <si>
    <t>Ei</t>
  </si>
  <si>
    <t>Gewürze</t>
  </si>
  <si>
    <t>Beilagen</t>
  </si>
  <si>
    <t>Summe 10</t>
  </si>
  <si>
    <t>1 Person</t>
  </si>
  <si>
    <t>muss noch verglichen werden!</t>
  </si>
  <si>
    <t>GK x 100/WES</t>
  </si>
  <si>
    <t>EUR</t>
  </si>
  <si>
    <t>b)</t>
  </si>
  <si>
    <t>a)</t>
  </si>
  <si>
    <t xml:space="preserve"> -Einzelkosten</t>
  </si>
  <si>
    <t xml:space="preserve"> - Gemeinkosten</t>
  </si>
  <si>
    <t>Nettorohaufschlag</t>
  </si>
  <si>
    <t>Erlöse (NVP), ohne USt</t>
  </si>
  <si>
    <t xml:space="preserve"> - WES</t>
  </si>
  <si>
    <t>NRA in EUR *100/WES</t>
  </si>
  <si>
    <t>3 FGA 1</t>
  </si>
  <si>
    <t>3 FGA 2 fertig</t>
  </si>
  <si>
    <t>NVP = GP</t>
  </si>
  <si>
    <t xml:space="preserve"> + USt</t>
  </si>
  <si>
    <t xml:space="preserve"> + BG</t>
  </si>
  <si>
    <t>ZWS</t>
  </si>
  <si>
    <t>BVP</t>
  </si>
  <si>
    <t>Gemeinkostenzuschlag, Gewinn</t>
  </si>
  <si>
    <t>aufgerundet auf 10 Cent</t>
  </si>
  <si>
    <t>3) Getränkekalkulationen</t>
  </si>
  <si>
    <t>Kartenpreis</t>
  </si>
  <si>
    <t>4. BEP</t>
  </si>
  <si>
    <t>Fixe Kosten</t>
  </si>
  <si>
    <t>var. Kosten</t>
  </si>
  <si>
    <t>Standplatz</t>
  </si>
  <si>
    <t>Personal</t>
  </si>
  <si>
    <t>Gläser</t>
  </si>
  <si>
    <t>Var. Kosten</t>
  </si>
  <si>
    <t>DB</t>
  </si>
  <si>
    <t>Fixkosten / DB je Einheit</t>
  </si>
  <si>
    <t xml:space="preserve"> /</t>
  </si>
  <si>
    <t>Netto (5,5 / 1,2 oder x 100 / 120)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</si>
</sst>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_€_-;\-* #,##0.00\ _€_-;_-* &quot;-&quot;??\ _€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43" fontId="0" fillId="0" borderId="0" xfId="1" applyFont="1"/>
    <xf numFmtId="43" fontId="0" fillId="0" borderId="8" xfId="1" applyFont="1" applyBorder="1"/>
    <xf numFmtId="43" fontId="4" fillId="0" borderId="0" xfId="1" applyFont="1"/>
    <xf numFmtId="0" fontId="5" fillId="0" borderId="0" xfId="0" applyFont="1"/>
    <xf numFmtId="43" fontId="5" fillId="0" borderId="8" xfId="1" applyFont="1" applyBorder="1"/>
    <xf numFmtId="0" fontId="0" fillId="0" borderId="0" xfId="0" applyAlignment="1">
      <alignment horizontal="right"/>
    </xf>
    <xf numFmtId="165" fontId="0" fillId="0" borderId="0" xfId="0" applyNumberFormat="1"/>
    <xf numFmtId="0" fontId="0" fillId="0" borderId="8" xfId="0" applyBorder="1"/>
    <xf numFmtId="4" fontId="0" fillId="0" borderId="0" xfId="0" applyNumberFormat="1"/>
    <xf numFmtId="4" fontId="0" fillId="0" borderId="8" xfId="0" applyNumberFormat="1" applyBorder="1"/>
    <xf numFmtId="0" fontId="0" fillId="2" borderId="0" xfId="0" applyFill="1"/>
    <xf numFmtId="2" fontId="0" fillId="2" borderId="0" xfId="0" applyNumberFormat="1" applyFill="1"/>
    <xf numFmtId="0" fontId="6" fillId="0" borderId="0" xfId="0" applyFont="1"/>
    <xf numFmtId="0" fontId="7" fillId="0" borderId="0" xfId="0" applyFont="1"/>
    <xf numFmtId="0" fontId="6" fillId="0" borderId="10" xfId="0" applyFont="1" applyBorder="1"/>
    <xf numFmtId="0" fontId="7" fillId="0" borderId="10" xfId="0" applyFont="1" applyBorder="1"/>
    <xf numFmtId="0" fontId="8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right" vertical="center" wrapText="1"/>
    </xf>
    <xf numFmtId="43" fontId="7" fillId="3" borderId="10" xfId="1" applyFont="1" applyFill="1" applyBorder="1"/>
    <xf numFmtId="0" fontId="8" fillId="0" borderId="0" xfId="0" applyFont="1" applyAlignment="1">
      <alignment horizontal="left" vertical="center" indent="5"/>
    </xf>
    <xf numFmtId="43" fontId="7" fillId="3" borderId="10" xfId="0" applyNumberFormat="1" applyFont="1" applyFill="1" applyBorder="1"/>
    <xf numFmtId="0" fontId="2" fillId="0" borderId="0" xfId="0" applyFont="1"/>
    <xf numFmtId="43" fontId="0" fillId="2" borderId="4" xfId="1" applyFont="1" applyFill="1" applyBorder="1"/>
    <xf numFmtId="43" fontId="0" fillId="2" borderId="5" xfId="1" applyFont="1" applyFill="1" applyBorder="1"/>
    <xf numFmtId="43" fontId="0" fillId="2" borderId="6" xfId="1" applyFont="1" applyFill="1" applyBorder="1"/>
    <xf numFmtId="43" fontId="0" fillId="2" borderId="0" xfId="1" applyFont="1" applyFill="1"/>
    <xf numFmtId="43" fontId="0" fillId="2" borderId="7" xfId="1" applyFont="1" applyFill="1" applyBorder="1"/>
    <xf numFmtId="43" fontId="0" fillId="2" borderId="8" xfId="1" applyFont="1" applyFill="1" applyBorder="1"/>
    <xf numFmtId="43" fontId="0" fillId="2" borderId="9" xfId="1" applyFont="1" applyFill="1" applyBorder="1"/>
    <xf numFmtId="43" fontId="0" fillId="0" borderId="0" xfId="1" applyFont="1" applyAlignment="1">
      <alignment horizontal="right"/>
    </xf>
    <xf numFmtId="2" fontId="5" fillId="0" borderId="8" xfId="0" applyNumberFormat="1" applyFont="1" applyBorder="1"/>
    <xf numFmtId="164" fontId="0" fillId="0" borderId="0" xfId="2" applyFont="1" applyAlignment="1">
      <alignment horizontal="right"/>
    </xf>
    <xf numFmtId="165" fontId="0" fillId="0" borderId="8" xfId="0" applyNumberFormat="1" applyBorder="1"/>
    <xf numFmtId="9" fontId="0" fillId="0" borderId="0" xfId="3" applyFont="1"/>
    <xf numFmtId="2" fontId="9" fillId="2" borderId="0" xfId="0" applyNumberFormat="1" applyFont="1" applyFill="1"/>
    <xf numFmtId="9" fontId="0" fillId="0" borderId="8" xfId="0" applyNumberFormat="1" applyBorder="1"/>
    <xf numFmtId="10" fontId="0" fillId="0" borderId="8" xfId="0" applyNumberFormat="1" applyBorder="1"/>
    <xf numFmtId="2" fontId="0" fillId="0" borderId="8" xfId="0" applyNumberFormat="1" applyBorder="1"/>
    <xf numFmtId="2" fontId="0" fillId="0" borderId="0" xfId="0" applyNumberFormat="1"/>
    <xf numFmtId="2" fontId="0" fillId="2" borderId="8" xfId="0" applyNumberFormat="1" applyFill="1" applyBorder="1"/>
    <xf numFmtId="9" fontId="0" fillId="2" borderId="8" xfId="0" applyNumberFormat="1" applyFill="1" applyBorder="1"/>
    <xf numFmtId="10" fontId="0" fillId="2" borderId="8" xfId="3" applyNumberFormat="1" applyFont="1" applyFill="1" applyBorder="1"/>
  </cellXfs>
  <cellStyles count="4">
    <cellStyle name="Euro" xfId="2" xr:uid="{9CCEA203-9916-534F-8B50-074647EF5A14}"/>
    <cellStyle name="Komma" xfId="1" builtinId="3"/>
    <cellStyle name="Prozent" xfId="3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0FFD2-566E-4149-A114-7FB900C18A00}">
  <dimension ref="A1:I82"/>
  <sheetViews>
    <sheetView tabSelected="1" topLeftCell="A62" zoomScale="130" zoomScaleNormal="130" workbookViewId="0">
      <selection activeCell="F72" sqref="F72"/>
    </sheetView>
  </sheetViews>
  <sheetFormatPr baseColWidth="10" defaultRowHeight="16" x14ac:dyDescent="0.2"/>
  <cols>
    <col min="1" max="1" width="24.5" customWidth="1"/>
    <col min="2" max="2" width="14.33203125" customWidth="1"/>
    <col min="3" max="5" width="14.5" customWidth="1"/>
    <col min="6" max="6" width="14.33203125" customWidth="1"/>
    <col min="7" max="7" width="13" customWidth="1"/>
    <col min="8" max="8" width="10.6640625" customWidth="1"/>
  </cols>
  <sheetData>
    <row r="1" spans="1:9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9" s="11" customFormat="1" x14ac:dyDescent="0.2">
      <c r="A2" s="11" t="s">
        <v>8</v>
      </c>
      <c r="B2" s="24">
        <v>78300</v>
      </c>
      <c r="C2" s="25"/>
      <c r="D2" s="25">
        <v>78300</v>
      </c>
      <c r="E2" s="25"/>
      <c r="F2" s="25">
        <f>D2</f>
        <v>78300</v>
      </c>
      <c r="G2" s="26"/>
      <c r="H2" s="27"/>
    </row>
    <row r="3" spans="1:9" s="11" customFormat="1" x14ac:dyDescent="0.2">
      <c r="A3" s="11" t="s">
        <v>9</v>
      </c>
      <c r="B3" s="28">
        <v>18600</v>
      </c>
      <c r="C3" s="29"/>
      <c r="D3" s="29"/>
      <c r="E3" s="29">
        <v>18600</v>
      </c>
      <c r="F3" s="29">
        <f>E3</f>
        <v>18600</v>
      </c>
      <c r="G3" s="30"/>
      <c r="H3" s="27"/>
    </row>
    <row r="4" spans="1:9" x14ac:dyDescent="0.2">
      <c r="A4" t="s">
        <v>10</v>
      </c>
      <c r="B4" s="1">
        <v>26000</v>
      </c>
      <c r="C4" s="1">
        <f>B4*0.05</f>
        <v>1300</v>
      </c>
      <c r="D4" s="1">
        <f>B4*0.15</f>
        <v>3900</v>
      </c>
      <c r="E4" s="1">
        <f>B4*0.05</f>
        <v>1300</v>
      </c>
      <c r="F4" s="1">
        <f>B4*0.2</f>
        <v>5200</v>
      </c>
      <c r="G4" s="1">
        <f>B4*0.55</f>
        <v>14300.000000000002</v>
      </c>
      <c r="H4" s="1"/>
    </row>
    <row r="5" spans="1:9" x14ac:dyDescent="0.2">
      <c r="A5" t="s">
        <v>11</v>
      </c>
      <c r="B5" s="1">
        <v>129000</v>
      </c>
      <c r="C5" s="1">
        <f>B5*0.12</f>
        <v>15480</v>
      </c>
      <c r="D5" s="1">
        <f>B5*0.22</f>
        <v>28380</v>
      </c>
      <c r="E5" s="1">
        <f>B5*0.03</f>
        <v>3870</v>
      </c>
      <c r="F5" s="1">
        <f>B5*0.11</f>
        <v>14190</v>
      </c>
      <c r="G5" s="1">
        <f>B5*0.52</f>
        <v>67080</v>
      </c>
      <c r="H5" s="1"/>
    </row>
    <row r="6" spans="1:9" x14ac:dyDescent="0.2">
      <c r="A6" t="s">
        <v>12</v>
      </c>
      <c r="B6" s="1">
        <v>52600</v>
      </c>
      <c r="C6" s="1">
        <v>8800</v>
      </c>
      <c r="D6" s="1">
        <v>5900</v>
      </c>
      <c r="E6" s="1">
        <v>2000</v>
      </c>
      <c r="F6" s="1">
        <v>6500</v>
      </c>
      <c r="G6" s="1">
        <v>29400</v>
      </c>
      <c r="H6" s="1"/>
    </row>
    <row r="7" spans="1:9" x14ac:dyDescent="0.2">
      <c r="A7" t="s">
        <v>13</v>
      </c>
      <c r="B7" s="2">
        <v>129000</v>
      </c>
      <c r="C7" s="2">
        <f>B7/134*7</f>
        <v>6738.8059701492539</v>
      </c>
      <c r="D7" s="2">
        <f>B7/134*13</f>
        <v>12514.925373134329</v>
      </c>
      <c r="E7" s="2">
        <f>B7/134*4</f>
        <v>3850.7462686567164</v>
      </c>
      <c r="F7" s="2">
        <f>B7/134*10</f>
        <v>9626.8656716417918</v>
      </c>
      <c r="G7" s="2">
        <f>B7/134*100</f>
        <v>96268.656716417914</v>
      </c>
      <c r="H7" s="1"/>
    </row>
    <row r="8" spans="1:9" x14ac:dyDescent="0.2">
      <c r="B8" s="1">
        <f>SUM(B4:B7)</f>
        <v>336600</v>
      </c>
      <c r="C8" s="1">
        <f t="shared" ref="C8:G8" si="0">SUM(C4:C7)</f>
        <v>32318.805970149253</v>
      </c>
      <c r="D8" s="1">
        <f t="shared" si="0"/>
        <v>50694.925373134327</v>
      </c>
      <c r="E8" s="1">
        <f t="shared" si="0"/>
        <v>11020.746268656716</v>
      </c>
      <c r="F8" s="1">
        <f t="shared" si="0"/>
        <v>35516.86567164179</v>
      </c>
      <c r="G8" s="1">
        <f t="shared" si="0"/>
        <v>207048.65671641793</v>
      </c>
      <c r="H8" s="1"/>
      <c r="I8" t="s">
        <v>58</v>
      </c>
    </row>
    <row r="9" spans="1:9" x14ac:dyDescent="0.2">
      <c r="A9" t="s">
        <v>6</v>
      </c>
      <c r="B9" s="1"/>
      <c r="C9" s="1">
        <f>-C8</f>
        <v>-32318.805970149253</v>
      </c>
      <c r="D9" s="1">
        <f>C8*20%</f>
        <v>6463.7611940298511</v>
      </c>
      <c r="E9" s="1">
        <f>C8*10%</f>
        <v>3231.8805970149256</v>
      </c>
      <c r="F9" s="1">
        <f>C8*30%</f>
        <v>9695.6417910447763</v>
      </c>
      <c r="G9" s="1">
        <f>C8*40%</f>
        <v>12927.522388059702</v>
      </c>
      <c r="H9" s="1">
        <f>D9+E9+F9+G9</f>
        <v>32318.805970149253</v>
      </c>
    </row>
    <row r="10" spans="1:9" x14ac:dyDescent="0.2">
      <c r="A10" t="s">
        <v>14</v>
      </c>
      <c r="B10" s="2"/>
      <c r="C10" s="2">
        <f>SUM(C8:C9)</f>
        <v>0</v>
      </c>
      <c r="D10" s="2">
        <f t="shared" ref="D10:G10" si="1">SUM(D8:D9)</f>
        <v>57158.686567164179</v>
      </c>
      <c r="E10" s="2">
        <f t="shared" si="1"/>
        <v>14252.626865671642</v>
      </c>
      <c r="F10" s="2">
        <f t="shared" si="1"/>
        <v>45212.507462686568</v>
      </c>
      <c r="G10" s="2">
        <f t="shared" si="1"/>
        <v>219976.17910447763</v>
      </c>
      <c r="H10" s="1"/>
    </row>
    <row r="11" spans="1:9" x14ac:dyDescent="0.2">
      <c r="A11" t="s">
        <v>7</v>
      </c>
      <c r="B11" s="1"/>
      <c r="C11" s="1"/>
      <c r="D11" s="3">
        <f>D2</f>
        <v>78300</v>
      </c>
      <c r="E11" s="3">
        <f>E3</f>
        <v>18600</v>
      </c>
      <c r="F11" s="3">
        <f>F2+F3</f>
        <v>96900</v>
      </c>
      <c r="G11" s="3">
        <v>8200</v>
      </c>
      <c r="H11" s="1" t="s">
        <v>16</v>
      </c>
    </row>
    <row r="12" spans="1:9" x14ac:dyDescent="0.2">
      <c r="A12" s="4" t="s">
        <v>15</v>
      </c>
      <c r="B12" s="4"/>
      <c r="C12" s="23" t="s">
        <v>55</v>
      </c>
      <c r="D12" s="5">
        <f>D10*100/D11</f>
        <v>72.999599702636246</v>
      </c>
      <c r="E12" s="5">
        <f>E10*100/E11</f>
        <v>76.627026159524959</v>
      </c>
      <c r="F12" s="5">
        <f>F10*100/F11</f>
        <v>46.658934430017098</v>
      </c>
      <c r="G12" s="32">
        <f>G10/G11</f>
        <v>26.826363305424103</v>
      </c>
      <c r="H12" s="4"/>
    </row>
    <row r="13" spans="1:9" x14ac:dyDescent="0.2">
      <c r="D13" s="31" t="s">
        <v>17</v>
      </c>
      <c r="E13" s="31" t="s">
        <v>17</v>
      </c>
      <c r="F13" s="31" t="s">
        <v>17</v>
      </c>
      <c r="G13" s="33" t="s">
        <v>56</v>
      </c>
      <c r="I13" s="31" t="s">
        <v>57</v>
      </c>
    </row>
    <row r="14" spans="1:9" x14ac:dyDescent="0.2">
      <c r="A14" t="s">
        <v>18</v>
      </c>
      <c r="C14" s="7">
        <f>D12+F12</f>
        <v>119.65853413265334</v>
      </c>
      <c r="D14" s="31" t="s">
        <v>17</v>
      </c>
      <c r="E14" s="31"/>
      <c r="F14" s="31"/>
      <c r="G14" s="33"/>
      <c r="I14" s="31"/>
    </row>
    <row r="15" spans="1:9" x14ac:dyDescent="0.2">
      <c r="A15" t="s">
        <v>19</v>
      </c>
      <c r="C15" s="7">
        <f>E12+F12</f>
        <v>123.28596058954206</v>
      </c>
      <c r="D15" s="31" t="s">
        <v>17</v>
      </c>
      <c r="E15" s="31"/>
      <c r="F15" s="31"/>
      <c r="G15" s="33"/>
      <c r="I15" s="31"/>
    </row>
    <row r="16" spans="1:9" x14ac:dyDescent="0.2">
      <c r="D16" s="31"/>
      <c r="E16" s="31"/>
      <c r="F16" s="31"/>
      <c r="G16" s="33"/>
      <c r="I16" s="31"/>
    </row>
    <row r="17" spans="1:9" x14ac:dyDescent="0.2">
      <c r="D17" s="6"/>
      <c r="E17" s="6"/>
      <c r="F17" s="6"/>
    </row>
    <row r="18" spans="1:9" x14ac:dyDescent="0.2">
      <c r="A18" t="s">
        <v>21</v>
      </c>
      <c r="B18" t="s">
        <v>25</v>
      </c>
      <c r="D18" s="1">
        <v>510080</v>
      </c>
    </row>
    <row r="19" spans="1:9" x14ac:dyDescent="0.2">
      <c r="B19" t="s">
        <v>59</v>
      </c>
      <c r="D19" s="1">
        <f>F11</f>
        <v>96900</v>
      </c>
    </row>
    <row r="20" spans="1:9" x14ac:dyDescent="0.2">
      <c r="B20" s="34" t="s">
        <v>60</v>
      </c>
      <c r="C20" s="8"/>
      <c r="D20" s="2">
        <f>B8</f>
        <v>336600</v>
      </c>
    </row>
    <row r="21" spans="1:9" x14ac:dyDescent="0.2">
      <c r="B21" s="7" t="s">
        <v>20</v>
      </c>
      <c r="D21" s="1">
        <f>D18-D19-D20</f>
        <v>76580</v>
      </c>
    </row>
    <row r="22" spans="1:9" x14ac:dyDescent="0.2">
      <c r="D22" s="1"/>
    </row>
    <row r="23" spans="1:9" x14ac:dyDescent="0.2">
      <c r="A23" t="s">
        <v>22</v>
      </c>
      <c r="B23" t="s">
        <v>61</v>
      </c>
      <c r="C23" s="1"/>
      <c r="D23" s="1"/>
      <c r="E23" s="1"/>
      <c r="F23" s="1"/>
    </row>
    <row r="24" spans="1:9" x14ac:dyDescent="0.2">
      <c r="B24" s="1" t="s">
        <v>23</v>
      </c>
      <c r="C24" s="1"/>
      <c r="D24" s="1"/>
      <c r="E24" s="1" t="s">
        <v>24</v>
      </c>
      <c r="F24" s="1"/>
      <c r="H24" t="s">
        <v>26</v>
      </c>
    </row>
    <row r="25" spans="1:9" x14ac:dyDescent="0.2">
      <c r="A25" t="s">
        <v>62</v>
      </c>
      <c r="B25" s="1">
        <v>152500</v>
      </c>
      <c r="C25" s="1"/>
      <c r="D25" s="1"/>
      <c r="E25" s="1">
        <v>71300</v>
      </c>
      <c r="F25" s="1"/>
      <c r="H25" s="8" t="s">
        <v>27</v>
      </c>
      <c r="I25" s="8"/>
    </row>
    <row r="26" spans="1:9" x14ac:dyDescent="0.2">
      <c r="A26" s="8" t="s">
        <v>63</v>
      </c>
      <c r="B26" s="2">
        <v>78300</v>
      </c>
      <c r="C26" s="2"/>
      <c r="D26" s="2"/>
      <c r="E26" s="2">
        <v>18600</v>
      </c>
      <c r="F26" s="1"/>
      <c r="H26" t="s">
        <v>28</v>
      </c>
    </row>
    <row r="27" spans="1:9" x14ac:dyDescent="0.2">
      <c r="A27" t="s">
        <v>29</v>
      </c>
      <c r="B27" s="1">
        <f>B25-B26</f>
        <v>74200</v>
      </c>
      <c r="C27" s="1"/>
      <c r="D27" s="1"/>
      <c r="E27" s="1">
        <f>E25-E26</f>
        <v>52700</v>
      </c>
      <c r="F27" s="1"/>
    </row>
    <row r="28" spans="1:9" x14ac:dyDescent="0.2">
      <c r="A28" t="s">
        <v>30</v>
      </c>
      <c r="B28" s="36">
        <f>B27*100/B26</f>
        <v>94.76372924648787</v>
      </c>
      <c r="C28" s="35" t="s">
        <v>17</v>
      </c>
      <c r="D28" s="1"/>
      <c r="E28" s="27">
        <f>E27*100/E26</f>
        <v>283.33333333333331</v>
      </c>
      <c r="F28" s="1" t="s">
        <v>17</v>
      </c>
      <c r="G28" s="23"/>
    </row>
    <row r="29" spans="1:9" x14ac:dyDescent="0.2">
      <c r="A29" s="23" t="s">
        <v>64</v>
      </c>
      <c r="C29" s="1"/>
      <c r="D29" s="1"/>
      <c r="E29" s="1"/>
      <c r="F29" s="1"/>
    </row>
    <row r="30" spans="1:9" x14ac:dyDescent="0.2">
      <c r="B30" s="9"/>
      <c r="C30" s="9"/>
      <c r="D30" s="9"/>
    </row>
    <row r="31" spans="1:9" x14ac:dyDescent="0.2">
      <c r="A31" s="8"/>
      <c r="B31" s="10"/>
      <c r="C31" s="10"/>
      <c r="D31" s="10"/>
    </row>
    <row r="32" spans="1:9" x14ac:dyDescent="0.2">
      <c r="B32" s="9"/>
      <c r="D32" s="9"/>
    </row>
    <row r="33" spans="1:8" x14ac:dyDescent="0.2">
      <c r="A33" s="11"/>
      <c r="B33" s="12"/>
      <c r="C33" s="11"/>
      <c r="D33" s="12"/>
      <c r="E33" s="11"/>
    </row>
    <row r="36" spans="1:8" x14ac:dyDescent="0.2">
      <c r="A36" s="13" t="s">
        <v>31</v>
      </c>
      <c r="B36" s="14"/>
      <c r="C36" s="14"/>
      <c r="D36" s="14"/>
    </row>
    <row r="37" spans="1:8" x14ac:dyDescent="0.2">
      <c r="A37" s="15" t="s">
        <v>32</v>
      </c>
      <c r="B37" s="16" t="s">
        <v>33</v>
      </c>
      <c r="C37" s="16" t="s">
        <v>34</v>
      </c>
      <c r="D37" s="16" t="s">
        <v>35</v>
      </c>
    </row>
    <row r="38" spans="1:8" ht="17" thickBot="1" x14ac:dyDescent="0.25">
      <c r="A38" s="17" t="s">
        <v>36</v>
      </c>
      <c r="B38" s="18" t="s">
        <v>37</v>
      </c>
      <c r="C38" s="19">
        <v>17.600000000000001</v>
      </c>
      <c r="D38" s="20">
        <f>C38*2.5</f>
        <v>44</v>
      </c>
    </row>
    <row r="39" spans="1:8" ht="17" thickBot="1" x14ac:dyDescent="0.25">
      <c r="A39" s="17" t="s">
        <v>38</v>
      </c>
      <c r="B39" s="18" t="s">
        <v>39</v>
      </c>
      <c r="C39" s="19">
        <v>3.92</v>
      </c>
      <c r="D39" s="20">
        <f>C39*0.8</f>
        <v>3.1360000000000001</v>
      </c>
    </row>
    <row r="40" spans="1:8" ht="17" thickBot="1" x14ac:dyDescent="0.25">
      <c r="A40" s="17" t="s">
        <v>40</v>
      </c>
      <c r="B40" s="18" t="s">
        <v>41</v>
      </c>
      <c r="C40" s="19">
        <v>9.25</v>
      </c>
      <c r="D40" s="20">
        <f>C40*0.15</f>
        <v>1.3875</v>
      </c>
    </row>
    <row r="41" spans="1:8" ht="17" thickBot="1" x14ac:dyDescent="0.25">
      <c r="A41" s="17" t="s">
        <v>42</v>
      </c>
      <c r="B41" s="18" t="s">
        <v>43</v>
      </c>
      <c r="C41" s="19">
        <v>0.8</v>
      </c>
      <c r="D41" s="20">
        <f>C41*4</f>
        <v>3.2</v>
      </c>
    </row>
    <row r="42" spans="1:8" ht="17" thickBot="1" x14ac:dyDescent="0.25">
      <c r="A42" s="17" t="s">
        <v>44</v>
      </c>
      <c r="B42" s="18" t="s">
        <v>45</v>
      </c>
      <c r="C42" s="19">
        <v>1.24</v>
      </c>
      <c r="D42" s="20">
        <f>C42*0.3</f>
        <v>0.372</v>
      </c>
    </row>
    <row r="43" spans="1:8" ht="17" thickBot="1" x14ac:dyDescent="0.25">
      <c r="A43" s="17" t="s">
        <v>46</v>
      </c>
      <c r="B43" s="18" t="s">
        <v>47</v>
      </c>
      <c r="C43" s="19">
        <v>1.4</v>
      </c>
      <c r="D43" s="20">
        <f>C43*0.12</f>
        <v>0.16799999999999998</v>
      </c>
    </row>
    <row r="44" spans="1:8" ht="17" thickBot="1" x14ac:dyDescent="0.25">
      <c r="A44" s="17" t="s">
        <v>48</v>
      </c>
      <c r="B44" s="18" t="s">
        <v>49</v>
      </c>
      <c r="C44" s="19">
        <v>0.2</v>
      </c>
      <c r="D44" s="20">
        <f>11*0.2</f>
        <v>2.2000000000000002</v>
      </c>
    </row>
    <row r="45" spans="1:8" ht="17" thickBot="1" x14ac:dyDescent="0.25">
      <c r="A45" s="17"/>
      <c r="B45" s="18" t="s">
        <v>50</v>
      </c>
      <c r="C45" s="19">
        <v>0.8</v>
      </c>
      <c r="D45" s="20">
        <v>0.8</v>
      </c>
    </row>
    <row r="46" spans="1:8" ht="17" thickBot="1" x14ac:dyDescent="0.25">
      <c r="A46" s="17">
        <v>10</v>
      </c>
      <c r="B46" s="18" t="s">
        <v>51</v>
      </c>
      <c r="C46" s="19">
        <v>0.7</v>
      </c>
      <c r="D46" s="20">
        <v>7</v>
      </c>
    </row>
    <row r="47" spans="1:8" x14ac:dyDescent="0.2">
      <c r="A47" s="21"/>
      <c r="B47" s="14"/>
      <c r="C47" s="14" t="s">
        <v>52</v>
      </c>
      <c r="D47" s="20">
        <f>SUM(D38:D46)</f>
        <v>62.263500000000008</v>
      </c>
    </row>
    <row r="48" spans="1:8" x14ac:dyDescent="0.2">
      <c r="A48" s="14"/>
      <c r="B48" s="14"/>
      <c r="C48" s="14" t="s">
        <v>53</v>
      </c>
      <c r="D48" s="22">
        <f>D47/10</f>
        <v>6.2263500000000009</v>
      </c>
      <c r="E48" s="23" t="s">
        <v>54</v>
      </c>
      <c r="H48" t="s">
        <v>65</v>
      </c>
    </row>
    <row r="49" spans="1:9" x14ac:dyDescent="0.2">
      <c r="H49" t="s">
        <v>66</v>
      </c>
    </row>
    <row r="50" spans="1:9" x14ac:dyDescent="0.2">
      <c r="A50" t="s">
        <v>57</v>
      </c>
    </row>
    <row r="51" spans="1:9" x14ac:dyDescent="0.2">
      <c r="F51" t="s">
        <v>21</v>
      </c>
    </row>
    <row r="52" spans="1:9" x14ac:dyDescent="0.2">
      <c r="A52" t="s">
        <v>26</v>
      </c>
      <c r="C52">
        <v>6.23</v>
      </c>
      <c r="F52" t="s">
        <v>26</v>
      </c>
      <c r="H52">
        <v>6.23</v>
      </c>
    </row>
    <row r="53" spans="1:9" x14ac:dyDescent="0.2">
      <c r="A53" s="8" t="s">
        <v>27</v>
      </c>
      <c r="B53" s="37">
        <v>1.2</v>
      </c>
      <c r="C53" s="39">
        <f>C52*B53</f>
        <v>7.476</v>
      </c>
      <c r="D53" s="11" t="s">
        <v>72</v>
      </c>
      <c r="E53" s="11"/>
      <c r="F53" s="8" t="s">
        <v>27</v>
      </c>
      <c r="G53" s="43">
        <f>H53/H52</f>
        <v>0.70351789651194818</v>
      </c>
      <c r="H53" s="41">
        <f>H54-H52</f>
        <v>4.3829164952694377</v>
      </c>
      <c r="I53" s="11"/>
    </row>
    <row r="54" spans="1:9" x14ac:dyDescent="0.2">
      <c r="A54" t="s">
        <v>67</v>
      </c>
      <c r="C54" s="40">
        <f>SUM(C52:C53)</f>
        <v>13.706</v>
      </c>
      <c r="F54" t="s">
        <v>67</v>
      </c>
      <c r="H54" s="40">
        <f>H56-H55</f>
        <v>10.612916495269438</v>
      </c>
    </row>
    <row r="55" spans="1:9" x14ac:dyDescent="0.2">
      <c r="A55" s="8" t="s">
        <v>69</v>
      </c>
      <c r="B55" s="38">
        <v>0.105</v>
      </c>
      <c r="C55" s="39">
        <f>C54*B55</f>
        <v>1.4391299999999998</v>
      </c>
      <c r="F55" s="8" t="s">
        <v>69</v>
      </c>
      <c r="G55" s="38">
        <v>0.105</v>
      </c>
      <c r="H55" s="39">
        <f>H56*10.5/110.5</f>
        <v>1.1143562320032909</v>
      </c>
    </row>
    <row r="56" spans="1:9" x14ac:dyDescent="0.2">
      <c r="A56" t="s">
        <v>70</v>
      </c>
      <c r="C56" s="40">
        <f>SUM(C54:C55)</f>
        <v>15.14513</v>
      </c>
      <c r="F56" t="s">
        <v>70</v>
      </c>
      <c r="H56" s="40">
        <f>H58-H57</f>
        <v>11.727272727272728</v>
      </c>
    </row>
    <row r="57" spans="1:9" x14ac:dyDescent="0.2">
      <c r="A57" s="8" t="s">
        <v>68</v>
      </c>
      <c r="B57" s="37">
        <v>0.1</v>
      </c>
      <c r="C57" s="39">
        <f>C56*B57</f>
        <v>1.514513</v>
      </c>
      <c r="F57" s="8" t="s">
        <v>68</v>
      </c>
      <c r="G57" s="37">
        <v>0.1</v>
      </c>
      <c r="H57" s="39">
        <f>H58*10/110</f>
        <v>1.1727272727272726</v>
      </c>
    </row>
    <row r="58" spans="1:9" x14ac:dyDescent="0.2">
      <c r="A58" t="s">
        <v>71</v>
      </c>
      <c r="C58" s="12">
        <f>SUM(C56:C57)</f>
        <v>16.659642999999999</v>
      </c>
      <c r="D58" s="11"/>
      <c r="F58" t="s">
        <v>71</v>
      </c>
      <c r="H58" s="12">
        <v>12.9</v>
      </c>
    </row>
    <row r="59" spans="1:9" x14ac:dyDescent="0.2">
      <c r="A59" t="s">
        <v>73</v>
      </c>
      <c r="B59" t="s">
        <v>75</v>
      </c>
      <c r="C59" s="12">
        <v>16.7</v>
      </c>
    </row>
    <row r="62" spans="1:9" x14ac:dyDescent="0.2">
      <c r="A62" t="s">
        <v>74</v>
      </c>
    </row>
    <row r="64" spans="1:9" x14ac:dyDescent="0.2">
      <c r="A64" t="s">
        <v>26</v>
      </c>
      <c r="C64">
        <v>1.55</v>
      </c>
      <c r="F64" t="s">
        <v>26</v>
      </c>
      <c r="H64">
        <v>1.55</v>
      </c>
    </row>
    <row r="65" spans="1:9" x14ac:dyDescent="0.2">
      <c r="A65" s="8" t="s">
        <v>27</v>
      </c>
      <c r="B65" s="37">
        <v>4.5</v>
      </c>
      <c r="C65" s="39">
        <f>C64*B65</f>
        <v>6.9750000000000005</v>
      </c>
      <c r="F65" s="8" t="s">
        <v>27</v>
      </c>
      <c r="G65" s="42">
        <f>H65/H64</f>
        <v>6.258064516129032</v>
      </c>
      <c r="H65" s="41">
        <f>H66-H64</f>
        <v>9.6999999999999993</v>
      </c>
    </row>
    <row r="66" spans="1:9" x14ac:dyDescent="0.2">
      <c r="A66" t="s">
        <v>28</v>
      </c>
      <c r="C66" s="40">
        <f>SUM(C64:C65)</f>
        <v>8.5250000000000004</v>
      </c>
      <c r="F66" t="s">
        <v>28</v>
      </c>
      <c r="H66" s="40">
        <f>H68/1.2</f>
        <v>11.25</v>
      </c>
      <c r="I66" s="40">
        <f>H66</f>
        <v>11.25</v>
      </c>
    </row>
    <row r="67" spans="1:9" x14ac:dyDescent="0.2">
      <c r="A67" s="8" t="s">
        <v>68</v>
      </c>
      <c r="B67" s="37">
        <v>0.2</v>
      </c>
      <c r="C67" s="39">
        <f>C66*B67</f>
        <v>1.7050000000000001</v>
      </c>
      <c r="F67" s="8" t="s">
        <v>68</v>
      </c>
      <c r="G67" s="37">
        <v>0.2</v>
      </c>
      <c r="H67" s="39"/>
      <c r="I67">
        <f>I66*G67</f>
        <v>2.25</v>
      </c>
    </row>
    <row r="68" spans="1:9" x14ac:dyDescent="0.2">
      <c r="A68" s="11" t="s">
        <v>71</v>
      </c>
      <c r="B68" s="11"/>
      <c r="C68" s="12">
        <f>SUM(C66:C67)</f>
        <v>10.23</v>
      </c>
      <c r="F68" t="s">
        <v>71</v>
      </c>
      <c r="H68" s="12">
        <v>13.5</v>
      </c>
      <c r="I68" s="40">
        <f>SUM(I66:I67)</f>
        <v>13.5</v>
      </c>
    </row>
    <row r="69" spans="1:9" x14ac:dyDescent="0.2">
      <c r="A69" s="11" t="s">
        <v>75</v>
      </c>
      <c r="B69" s="11"/>
      <c r="C69" s="12">
        <v>10.3</v>
      </c>
    </row>
    <row r="70" spans="1:9" x14ac:dyDescent="0.2">
      <c r="C70" s="11">
        <v>11</v>
      </c>
    </row>
    <row r="72" spans="1:9" x14ac:dyDescent="0.2">
      <c r="A72" t="s">
        <v>76</v>
      </c>
      <c r="B72" t="s">
        <v>77</v>
      </c>
      <c r="C72" t="s">
        <v>78</v>
      </c>
    </row>
    <row r="73" spans="1:9" x14ac:dyDescent="0.2">
      <c r="A73" t="s">
        <v>79</v>
      </c>
      <c r="B73" s="40">
        <v>350</v>
      </c>
      <c r="C73" s="40"/>
    </row>
    <row r="74" spans="1:9" x14ac:dyDescent="0.2">
      <c r="A74" t="s">
        <v>80</v>
      </c>
      <c r="B74" s="40">
        <v>280</v>
      </c>
      <c r="C74" s="40"/>
    </row>
    <row r="75" spans="1:9" x14ac:dyDescent="0.2">
      <c r="A75" t="s">
        <v>26</v>
      </c>
      <c r="B75" s="40"/>
      <c r="C75" s="40">
        <v>0.85</v>
      </c>
    </row>
    <row r="76" spans="1:9" x14ac:dyDescent="0.2">
      <c r="A76" t="s">
        <v>81</v>
      </c>
      <c r="B76" s="40"/>
      <c r="C76" s="40">
        <v>0.1</v>
      </c>
    </row>
    <row r="77" spans="1:9" x14ac:dyDescent="0.2">
      <c r="B77" s="40"/>
      <c r="C77" s="40"/>
    </row>
    <row r="78" spans="1:9" x14ac:dyDescent="0.2">
      <c r="A78" t="s">
        <v>57</v>
      </c>
      <c r="B78" s="40" t="s">
        <v>25</v>
      </c>
      <c r="C78" s="40">
        <f>5.5/1.2</f>
        <v>4.5833333333333339</v>
      </c>
      <c r="D78" t="s">
        <v>86</v>
      </c>
    </row>
    <row r="79" spans="1:9" x14ac:dyDescent="0.2">
      <c r="B79" s="8" t="s">
        <v>82</v>
      </c>
      <c r="C79" s="39">
        <f>C75+C76</f>
        <v>0.95</v>
      </c>
    </row>
    <row r="80" spans="1:9" x14ac:dyDescent="0.2">
      <c r="B80" t="s">
        <v>83</v>
      </c>
      <c r="C80" s="40">
        <f>C78-C79</f>
        <v>3.6333333333333337</v>
      </c>
    </row>
    <row r="82" spans="1:7" x14ac:dyDescent="0.2">
      <c r="A82" t="s">
        <v>21</v>
      </c>
      <c r="B82" t="s">
        <v>84</v>
      </c>
      <c r="D82" s="40">
        <f>B73+B74</f>
        <v>630</v>
      </c>
      <c r="E82" t="s">
        <v>85</v>
      </c>
      <c r="F82" s="40">
        <f>C80</f>
        <v>3.6333333333333337</v>
      </c>
      <c r="G82" s="12">
        <f>D82/F82</f>
        <v>173.39449541284401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Schnabl</dc:creator>
  <cp:lastModifiedBy>Microsoft Office User</cp:lastModifiedBy>
  <dcterms:created xsi:type="dcterms:W3CDTF">2023-04-17T08:57:58Z</dcterms:created>
  <dcterms:modified xsi:type="dcterms:W3CDTF">2023-04-19T08:51:44Z</dcterms:modified>
</cp:coreProperties>
</file>