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0" yWindow="760" windowWidth="27520" windowHeight="17700" activeTab="0"/>
  </bookViews>
  <sheets>
    <sheet name="Musterlösung" sheetId="1" r:id="rId1"/>
    <sheet name="BAB querLösungsteil" sheetId="2" r:id="rId2"/>
  </sheets>
  <definedNames>
    <definedName name="_xlnm.Print_Area" localSheetId="1">'BAB querLösungsteil'!$A$1:$G$27</definedName>
  </definedNames>
  <calcPr fullCalcOnLoad="1"/>
</workbook>
</file>

<file path=xl/sharedStrings.xml><?xml version="1.0" encoding="utf-8"?>
<sst xmlns="http://schemas.openxmlformats.org/spreadsheetml/2006/main" count="190" uniqueCount="124">
  <si>
    <t>Summen</t>
  </si>
  <si>
    <t>Verwaltung</t>
  </si>
  <si>
    <t xml:space="preserve">Küche </t>
  </si>
  <si>
    <t>Keller</t>
  </si>
  <si>
    <t>Restaurant</t>
  </si>
  <si>
    <t>Umlage Verwaltung</t>
  </si>
  <si>
    <t>Zuschlagsbasen</t>
  </si>
  <si>
    <t>Getränke</t>
  </si>
  <si>
    <t>GKZ Restaurant</t>
  </si>
  <si>
    <t>Speisen</t>
  </si>
  <si>
    <t>WES</t>
  </si>
  <si>
    <t xml:space="preserve"> - WES</t>
  </si>
  <si>
    <t>Logis</t>
  </si>
  <si>
    <t>1. Lebensmitteleinsatz</t>
  </si>
  <si>
    <t>2. Getränkeeinsatz</t>
  </si>
  <si>
    <t>3. Energiekosten</t>
  </si>
  <si>
    <t>Nächtigungen</t>
  </si>
  <si>
    <t>Kosten</t>
  </si>
  <si>
    <t>Gewinn</t>
  </si>
  <si>
    <t>Erlöse</t>
  </si>
  <si>
    <t>Betriebserfolg</t>
  </si>
  <si>
    <t>gesamt</t>
  </si>
  <si>
    <t>Verpflegung</t>
  </si>
  <si>
    <t>GK Summe I</t>
  </si>
  <si>
    <t>GK Summe II</t>
  </si>
  <si>
    <t>GK I</t>
  </si>
  <si>
    <t>GKZ/ Selbstkosten</t>
  </si>
  <si>
    <t>5. Personalkosten</t>
  </si>
  <si>
    <t>7. Diverse Kosten</t>
  </si>
  <si>
    <t>8. Kalk. Kosten</t>
  </si>
  <si>
    <t>GKII</t>
  </si>
  <si>
    <t>NRA in %</t>
  </si>
  <si>
    <t>Saturn</t>
  </si>
  <si>
    <t>Niedermayer</t>
  </si>
  <si>
    <t>Listenpreis</t>
  </si>
  <si>
    <t>Rabatt 5 %</t>
  </si>
  <si>
    <t xml:space="preserve"> + Fakturenspesen</t>
  </si>
  <si>
    <t xml:space="preserve"> - Skonto</t>
  </si>
  <si>
    <t xml:space="preserve"> + eig. Bezugsspesen Vers</t>
  </si>
  <si>
    <t>Niedermayer ist billiger!</t>
  </si>
  <si>
    <t>3) BETRIEBSERFOLG</t>
  </si>
  <si>
    <t>4) NRA in €</t>
  </si>
  <si>
    <t>KALKULATIONEN</t>
  </si>
  <si>
    <t>7)</t>
  </si>
  <si>
    <t>6)</t>
  </si>
  <si>
    <t>2. Bezugskalkulation</t>
  </si>
  <si>
    <t>Kalkulation Forellenfilet</t>
  </si>
  <si>
    <t>5) Kalklation Forellenfilet</t>
  </si>
  <si>
    <t>5)</t>
  </si>
  <si>
    <t>GKZ Getränke</t>
  </si>
  <si>
    <t>Forellenfilet</t>
  </si>
  <si>
    <t>Kartoffeln</t>
  </si>
  <si>
    <t>Zwiebeln</t>
  </si>
  <si>
    <t>Butter</t>
  </si>
  <si>
    <t>Mehl</t>
  </si>
  <si>
    <t>Sahe</t>
  </si>
  <si>
    <t>Suppe</t>
  </si>
  <si>
    <t>Salz</t>
  </si>
  <si>
    <t>Gewürze</t>
  </si>
  <si>
    <t xml:space="preserve">GK </t>
  </si>
  <si>
    <t>BG 10,5%</t>
  </si>
  <si>
    <t>Ust</t>
  </si>
  <si>
    <t>50 Punkte</t>
  </si>
  <si>
    <t>Hotel Goldener Adler Lösungsteil</t>
  </si>
  <si>
    <t>Hotel Goldener Adler</t>
  </si>
  <si>
    <t>2a) Betriebsabrechnungsbogen</t>
  </si>
  <si>
    <t>2b ) GKZ Speisen</t>
  </si>
  <si>
    <t>2c)</t>
  </si>
  <si>
    <t>Beilagen</t>
  </si>
  <si>
    <t>b)</t>
  </si>
  <si>
    <t>NRA</t>
  </si>
  <si>
    <t>Getränkekalkulation</t>
  </si>
  <si>
    <t>Bier</t>
  </si>
  <si>
    <t>Nächtigung</t>
  </si>
  <si>
    <t>SK/Nacht</t>
  </si>
  <si>
    <t>NRA in Eur</t>
  </si>
  <si>
    <t>Theorie</t>
  </si>
  <si>
    <t>10P</t>
  </si>
  <si>
    <t>5P</t>
  </si>
  <si>
    <t>gerundet</t>
  </si>
  <si>
    <t>OT</t>
  </si>
  <si>
    <t>á</t>
  </si>
  <si>
    <t>Lösung</t>
  </si>
  <si>
    <t>fix</t>
  </si>
  <si>
    <t>variabel</t>
  </si>
  <si>
    <t>Standplatzgebühr</t>
  </si>
  <si>
    <t>Miete für den Stand</t>
  </si>
  <si>
    <t>Personal</t>
  </si>
  <si>
    <t>Strom</t>
  </si>
  <si>
    <t>Wareneinsatz</t>
  </si>
  <si>
    <t>Verpackung</t>
  </si>
  <si>
    <t>v.K</t>
  </si>
  <si>
    <t xml:space="preserve"> - Ust</t>
  </si>
  <si>
    <t>GP</t>
  </si>
  <si>
    <t xml:space="preserve"> - Var. KO</t>
  </si>
  <si>
    <t>DB</t>
  </si>
  <si>
    <t>BEP</t>
  </si>
  <si>
    <t>Fixko</t>
  </si>
  <si>
    <t>Stück</t>
  </si>
  <si>
    <t>für das Wochenende</t>
  </si>
  <si>
    <t>Wenn viele Besucher kommen, würde es sich auf jeden Fall auszahlen.</t>
  </si>
  <si>
    <t xml:space="preserve">Break even Point </t>
  </si>
  <si>
    <t>+ Gemeinkostenzuschlag</t>
  </si>
  <si>
    <t>Selbstkosten</t>
  </si>
  <si>
    <t>+ Gewinnzuschlag</t>
  </si>
  <si>
    <t>Grundpreis</t>
  </si>
  <si>
    <t>+ UST</t>
  </si>
  <si>
    <t>Abgabepreis</t>
  </si>
  <si>
    <t>-WES</t>
  </si>
  <si>
    <t>Rechnungspreis</t>
  </si>
  <si>
    <t>- Rabatt</t>
  </si>
  <si>
    <t>= rabattierter Preis</t>
  </si>
  <si>
    <t>+ Fakturenspesen</t>
  </si>
  <si>
    <t>= Zielpreis (Rechnungspr….)</t>
  </si>
  <si>
    <t>- Skonto</t>
  </si>
  <si>
    <t>= Kassapreis</t>
  </si>
  <si>
    <t>+ eig Bezugskosten</t>
  </si>
  <si>
    <t>= Einstandspreis</t>
  </si>
  <si>
    <t>Preis pro Stück / 50</t>
  </si>
  <si>
    <t>Gemeinkostenzuschlag, Seko pro Nacht</t>
  </si>
  <si>
    <t>= 11/5*100=</t>
  </si>
  <si>
    <t xml:space="preserve"> - Gesamt-Gemainkosten BAB</t>
  </si>
  <si>
    <t>Joop</t>
  </si>
  <si>
    <t>Vossen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</si>
</sst>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_-;\-* #,##0_-;_-* &quot;-&quot;??_-;_-@_-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0.0000000"/>
    <numFmt numFmtId="181" formatCode="0.0%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_-* #,##0.00\ _€_-;\-* #,##0.00\ _€_-;_-* &quot;-&quot;??\ _€_-;_-@_-"/>
    <numFmt numFmtId="187" formatCode="_-[$€-C07]\ * #,##0.00_-;\-[$€-C07]\ * #,##0.00_-;_-[$€-C07]\ * &quot;-&quot;??_-;_-@_-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i/>
      <sz val="8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48">
    <xf numFmtId="0" fontId="0" fillId="0" borderId="0" xfId="0" applyAlignment="1">
      <alignment/>
    </xf>
    <xf numFmtId="43" fontId="0" fillId="0" borderId="0" xfId="48" applyFont="1" applyAlignment="1">
      <alignment/>
    </xf>
    <xf numFmtId="43" fontId="0" fillId="0" borderId="0" xfId="0" applyNumberFormat="1" applyAlignment="1">
      <alignment/>
    </xf>
    <xf numFmtId="174" fontId="0" fillId="0" borderId="0" xfId="48" applyNumberFormat="1" applyFon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10" xfId="48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43" fontId="0" fillId="0" borderId="11" xfId="48" applyFont="1" applyBorder="1" applyAlignment="1">
      <alignment/>
    </xf>
    <xf numFmtId="43" fontId="0" fillId="0" borderId="12" xfId="48" applyFont="1" applyBorder="1" applyAlignment="1">
      <alignment/>
    </xf>
    <xf numFmtId="43" fontId="0" fillId="0" borderId="13" xfId="48" applyFont="1" applyBorder="1" applyAlignment="1">
      <alignment/>
    </xf>
    <xf numFmtId="43" fontId="3" fillId="0" borderId="0" xfId="48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9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3" fontId="4" fillId="0" borderId="17" xfId="48" applyFont="1" applyBorder="1" applyAlignment="1">
      <alignment/>
    </xf>
    <xf numFmtId="43" fontId="5" fillId="0" borderId="17" xfId="48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7" xfId="48" applyFont="1" applyBorder="1" applyAlignment="1">
      <alignment/>
    </xf>
    <xf numFmtId="0" fontId="4" fillId="0" borderId="17" xfId="0" applyFont="1" applyBorder="1" applyAlignment="1">
      <alignment/>
    </xf>
    <xf numFmtId="10" fontId="4" fillId="0" borderId="17" xfId="48" applyNumberFormat="1" applyFont="1" applyBorder="1" applyAlignment="1">
      <alignment/>
    </xf>
    <xf numFmtId="43" fontId="4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15" xfId="48" applyFont="1" applyBorder="1" applyAlignment="1">
      <alignment/>
    </xf>
    <xf numFmtId="0" fontId="0" fillId="0" borderId="0" xfId="0" applyFill="1" applyBorder="1" applyAlignment="1">
      <alignment/>
    </xf>
    <xf numFmtId="16" fontId="0" fillId="0" borderId="14" xfId="0" applyNumberFormat="1" applyBorder="1" applyAlignment="1">
      <alignment/>
    </xf>
    <xf numFmtId="43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43" fontId="8" fillId="0" borderId="15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16" xfId="0" applyNumberFormat="1" applyBorder="1" applyAlignment="1">
      <alignment/>
    </xf>
    <xf numFmtId="9" fontId="0" fillId="0" borderId="0" xfId="52" applyFont="1" applyAlignment="1">
      <alignment/>
    </xf>
    <xf numFmtId="9" fontId="0" fillId="0" borderId="0" xfId="0" applyNumberFormat="1" applyAlignment="1">
      <alignment/>
    </xf>
    <xf numFmtId="43" fontId="0" fillId="0" borderId="0" xfId="48" applyFont="1" applyAlignment="1">
      <alignment/>
    </xf>
    <xf numFmtId="43" fontId="4" fillId="0" borderId="10" xfId="0" applyNumberFormat="1" applyFont="1" applyBorder="1" applyAlignment="1">
      <alignment/>
    </xf>
    <xf numFmtId="43" fontId="4" fillId="0" borderId="10" xfId="48" applyFont="1" applyBorder="1" applyAlignment="1">
      <alignment/>
    </xf>
    <xf numFmtId="43" fontId="4" fillId="0" borderId="13" xfId="48" applyFont="1" applyBorder="1" applyAlignment="1">
      <alignment/>
    </xf>
    <xf numFmtId="43" fontId="4" fillId="33" borderId="17" xfId="48" applyFont="1" applyFill="1" applyBorder="1" applyAlignment="1">
      <alignment/>
    </xf>
    <xf numFmtId="43" fontId="4" fillId="0" borderId="17" xfId="48" applyFont="1" applyFill="1" applyBorder="1" applyAlignment="1">
      <alignment/>
    </xf>
    <xf numFmtId="0" fontId="4" fillId="33" borderId="17" xfId="0" applyFont="1" applyFill="1" applyBorder="1" applyAlignment="1">
      <alignment/>
    </xf>
    <xf numFmtId="43" fontId="4" fillId="33" borderId="17" xfId="48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43" fontId="0" fillId="34" borderId="0" xfId="48" applyFont="1" applyFill="1" applyAlignment="1">
      <alignment/>
    </xf>
    <xf numFmtId="10" fontId="0" fillId="34" borderId="0" xfId="52" applyNumberFormat="1" applyFont="1" applyFill="1" applyAlignment="1">
      <alignment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17" xfId="0" applyFill="1" applyBorder="1" applyAlignment="1">
      <alignment/>
    </xf>
    <xf numFmtId="43" fontId="0" fillId="0" borderId="0" xfId="48" applyFont="1" applyAlignment="1">
      <alignment horizontal="right"/>
    </xf>
    <xf numFmtId="0" fontId="58" fillId="34" borderId="17" xfId="0" applyFont="1" applyFill="1" applyBorder="1" applyAlignment="1">
      <alignment horizontal="justify" vertical="center"/>
    </xf>
    <xf numFmtId="43" fontId="0" fillId="34" borderId="17" xfId="48" applyFont="1" applyFill="1" applyBorder="1" applyAlignment="1">
      <alignment/>
    </xf>
    <xf numFmtId="43" fontId="0" fillId="34" borderId="22" xfId="48" applyFont="1" applyFill="1" applyBorder="1" applyAlignment="1">
      <alignment/>
    </xf>
    <xf numFmtId="43" fontId="45" fillId="34" borderId="20" xfId="48" applyFon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34" borderId="0" xfId="0" applyNumberFormat="1" applyFill="1" applyAlignment="1">
      <alignment/>
    </xf>
    <xf numFmtId="43" fontId="0" fillId="0" borderId="23" xfId="0" applyNumberFormat="1" applyBorder="1" applyAlignment="1">
      <alignment/>
    </xf>
    <xf numFmtId="43" fontId="39" fillId="0" borderId="0" xfId="48" applyFont="1" applyAlignment="1">
      <alignment horizontal="right" vertical="center"/>
    </xf>
    <xf numFmtId="43" fontId="39" fillId="34" borderId="17" xfId="0" applyNumberFormat="1" applyFont="1" applyFill="1" applyBorder="1" applyAlignment="1">
      <alignment horizontal="justify" vertical="center"/>
    </xf>
    <xf numFmtId="0" fontId="39" fillId="34" borderId="17" xfId="0" applyFont="1" applyFill="1" applyBorder="1" applyAlignment="1">
      <alignment horizontal="justify" vertical="center"/>
    </xf>
    <xf numFmtId="0" fontId="39" fillId="34" borderId="22" xfId="0" applyFont="1" applyFill="1" applyBorder="1" applyAlignment="1">
      <alignment horizontal="justify" vertical="center"/>
    </xf>
    <xf numFmtId="43" fontId="36" fillId="34" borderId="17" xfId="0" applyNumberFormat="1" applyFont="1" applyFill="1" applyBorder="1" applyAlignment="1">
      <alignment/>
    </xf>
    <xf numFmtId="43" fontId="36" fillId="0" borderId="0" xfId="48" applyFont="1" applyAlignment="1">
      <alignment horizontal="right"/>
    </xf>
    <xf numFmtId="0" fontId="36" fillId="0" borderId="0" xfId="0" applyFont="1" applyAlignment="1">
      <alignment/>
    </xf>
    <xf numFmtId="43" fontId="36" fillId="34" borderId="20" xfId="0" applyNumberFormat="1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43" fontId="10" fillId="0" borderId="0" xfId="48" applyFont="1" applyAlignment="1">
      <alignment/>
    </xf>
    <xf numFmtId="43" fontId="10" fillId="0" borderId="0" xfId="0" applyNumberFormat="1" applyFont="1" applyAlignment="1">
      <alignment/>
    </xf>
    <xf numFmtId="10" fontId="10" fillId="0" borderId="0" xfId="52" applyNumberFormat="1" applyFont="1" applyAlignment="1">
      <alignment/>
    </xf>
    <xf numFmtId="170" fontId="0" fillId="0" borderId="0" xfId="0" applyNumberFormat="1" applyFont="1" applyAlignment="1">
      <alignment/>
    </xf>
    <xf numFmtId="10" fontId="0" fillId="0" borderId="0" xfId="52" applyNumberFormat="1" applyFont="1" applyAlignment="1">
      <alignment/>
    </xf>
    <xf numFmtId="0" fontId="0" fillId="0" borderId="0" xfId="0" applyFont="1" applyAlignment="1" quotePrefix="1">
      <alignment/>
    </xf>
    <xf numFmtId="187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9" fontId="0" fillId="0" borderId="0" xfId="0" applyNumberFormat="1" applyFont="1" applyAlignment="1">
      <alignment/>
    </xf>
    <xf numFmtId="43" fontId="0" fillId="0" borderId="0" xfId="48" applyFont="1" applyAlignment="1" quotePrefix="1">
      <alignment/>
    </xf>
    <xf numFmtId="9" fontId="0" fillId="0" borderId="0" xfId="52" applyFont="1" applyAlignment="1">
      <alignment/>
    </xf>
    <xf numFmtId="186" fontId="0" fillId="0" borderId="0" xfId="0" applyNumberFormat="1" applyAlignment="1">
      <alignment/>
    </xf>
    <xf numFmtId="0" fontId="11" fillId="0" borderId="0" xfId="0" applyFont="1" applyAlignment="1" quotePrefix="1">
      <alignment/>
    </xf>
    <xf numFmtId="43" fontId="12" fillId="0" borderId="0" xfId="48" applyFont="1" applyAlignment="1">
      <alignment/>
    </xf>
    <xf numFmtId="0" fontId="11" fillId="0" borderId="0" xfId="0" applyFont="1" applyAlignment="1">
      <alignment/>
    </xf>
    <xf numFmtId="43" fontId="0" fillId="34" borderId="10" xfId="48" applyFont="1" applyFill="1" applyBorder="1" applyAlignment="1">
      <alignment/>
    </xf>
    <xf numFmtId="43" fontId="0" fillId="34" borderId="0" xfId="48" applyFont="1" applyFill="1" applyAlignment="1">
      <alignment/>
    </xf>
    <xf numFmtId="43" fontId="0" fillId="35" borderId="0" xfId="48" applyFont="1" applyFill="1" applyBorder="1" applyAlignment="1">
      <alignment/>
    </xf>
    <xf numFmtId="43" fontId="0" fillId="35" borderId="0" xfId="48" applyFont="1" applyFill="1" applyAlignment="1">
      <alignment/>
    </xf>
    <xf numFmtId="43" fontId="0" fillId="34" borderId="0" xfId="48" applyFont="1" applyFill="1" applyBorder="1" applyAlignment="1">
      <alignment/>
    </xf>
    <xf numFmtId="43" fontId="0" fillId="35" borderId="10" xfId="48" applyFont="1" applyFill="1" applyBorder="1" applyAlignment="1">
      <alignment/>
    </xf>
    <xf numFmtId="43" fontId="3" fillId="34" borderId="0" xfId="48" applyFont="1" applyFill="1" applyAlignment="1">
      <alignment/>
    </xf>
    <xf numFmtId="43" fontId="59" fillId="34" borderId="11" xfId="48" applyFont="1" applyFill="1" applyBorder="1" applyAlignment="1">
      <alignment/>
    </xf>
    <xf numFmtId="43" fontId="59" fillId="34" borderId="10" xfId="48" applyFont="1" applyFill="1" applyBorder="1" applyAlignment="1">
      <alignment/>
    </xf>
    <xf numFmtId="43" fontId="60" fillId="34" borderId="10" xfId="48" applyFont="1" applyFill="1" applyBorder="1" applyAlignment="1">
      <alignment/>
    </xf>
    <xf numFmtId="0" fontId="2" fillId="34" borderId="10" xfId="0" applyFont="1" applyFill="1" applyBorder="1" applyAlignment="1">
      <alignment/>
    </xf>
    <xf numFmtId="43" fontId="13" fillId="34" borderId="0" xfId="48" applyFont="1" applyFill="1" applyAlignment="1">
      <alignment/>
    </xf>
    <xf numFmtId="9" fontId="3" fillId="34" borderId="0" xfId="52" applyFont="1" applyFill="1" applyAlignment="1">
      <alignment/>
    </xf>
    <xf numFmtId="169" fontId="3" fillId="34" borderId="0" xfId="46" applyFont="1" applyFill="1" applyAlignment="1">
      <alignment/>
    </xf>
    <xf numFmtId="9" fontId="14" fillId="34" borderId="0" xfId="48" applyNumberFormat="1" applyFont="1" applyFill="1" applyAlignment="1">
      <alignment/>
    </xf>
    <xf numFmtId="9" fontId="14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15" fillId="34" borderId="0" xfId="0" applyFont="1" applyFill="1" applyAlignment="1" quotePrefix="1">
      <alignment/>
    </xf>
    <xf numFmtId="0" fontId="11" fillId="34" borderId="0" xfId="0" applyFont="1" applyFill="1" applyAlignment="1" quotePrefix="1">
      <alignment/>
    </xf>
    <xf numFmtId="10" fontId="0" fillId="34" borderId="0" xfId="52" applyNumberFormat="1" applyFont="1" applyFill="1" applyAlignment="1">
      <alignment/>
    </xf>
    <xf numFmtId="9" fontId="0" fillId="34" borderId="0" xfId="0" applyNumberFormat="1" applyFont="1" applyFill="1" applyAlignment="1">
      <alignment/>
    </xf>
    <xf numFmtId="187" fontId="0" fillId="34" borderId="0" xfId="0" applyNumberFormat="1" applyFont="1" applyFill="1" applyAlignment="1">
      <alignment/>
    </xf>
    <xf numFmtId="187" fontId="12" fillId="34" borderId="0" xfId="0" applyNumberFormat="1" applyFont="1" applyFill="1" applyAlignment="1">
      <alignment/>
    </xf>
    <xf numFmtId="187" fontId="0" fillId="35" borderId="0" xfId="0" applyNumberFormat="1" applyFont="1" applyFill="1" applyAlignment="1">
      <alignment/>
    </xf>
    <xf numFmtId="43" fontId="0" fillId="35" borderId="0" xfId="48" applyFont="1" applyFill="1" applyAlignment="1">
      <alignment/>
    </xf>
    <xf numFmtId="43" fontId="12" fillId="35" borderId="0" xfId="48" applyFont="1" applyFill="1" applyAlignment="1">
      <alignment/>
    </xf>
    <xf numFmtId="9" fontId="0" fillId="35" borderId="0" xfId="52" applyFont="1" applyFill="1" applyAlignment="1">
      <alignment/>
    </xf>
    <xf numFmtId="0" fontId="0" fillId="34" borderId="0" xfId="0" applyFill="1" applyAlignment="1">
      <alignment/>
    </xf>
    <xf numFmtId="43" fontId="3" fillId="34" borderId="0" xfId="0" applyNumberFormat="1" applyFont="1" applyFill="1" applyAlignment="1">
      <alignment/>
    </xf>
    <xf numFmtId="43" fontId="0" fillId="34" borderId="15" xfId="48" applyFont="1" applyFill="1" applyBorder="1" applyAlignment="1">
      <alignment/>
    </xf>
    <xf numFmtId="43" fontId="12" fillId="34" borderId="15" xfId="48" applyFont="1" applyFill="1" applyBorder="1" applyAlignment="1">
      <alignment/>
    </xf>
    <xf numFmtId="43" fontId="8" fillId="34" borderId="15" xfId="0" applyNumberFormat="1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zoomScale="114" zoomScaleNormal="114" zoomScalePageLayoutView="0" workbookViewId="0" topLeftCell="A92">
      <selection activeCell="B129" sqref="B129"/>
    </sheetView>
  </sheetViews>
  <sheetFormatPr defaultColWidth="11.421875" defaultRowHeight="12.75"/>
  <cols>
    <col min="1" max="1" width="24.140625" style="0" customWidth="1"/>
    <col min="2" max="2" width="12.8515625" style="0" customWidth="1"/>
    <col min="3" max="3" width="11.8515625" style="0" customWidth="1"/>
    <col min="4" max="4" width="12.00390625" style="0" customWidth="1"/>
    <col min="5" max="5" width="19.7109375" style="0" customWidth="1"/>
    <col min="6" max="6" width="11.8515625" style="0" bestFit="1" customWidth="1"/>
    <col min="7" max="7" width="12.28125" style="0" customWidth="1"/>
    <col min="8" max="8" width="12.00390625" style="0" customWidth="1"/>
  </cols>
  <sheetData>
    <row r="1" spans="2:7" ht="12.75">
      <c r="B1" s="51"/>
      <c r="C1" s="51"/>
      <c r="D1">
        <v>50</v>
      </c>
      <c r="F1" s="51" t="s">
        <v>122</v>
      </c>
      <c r="G1" s="51" t="s">
        <v>123</v>
      </c>
    </row>
    <row r="2" spans="1:7" ht="12.75">
      <c r="A2" t="s">
        <v>34</v>
      </c>
      <c r="B2" s="51"/>
      <c r="C2" s="51"/>
      <c r="E2" s="51" t="s">
        <v>109</v>
      </c>
      <c r="F2" s="1">
        <v>1100</v>
      </c>
      <c r="G2" s="1">
        <v>990</v>
      </c>
    </row>
    <row r="3" spans="1:7" ht="15.75">
      <c r="A3" t="s">
        <v>35</v>
      </c>
      <c r="B3" s="51"/>
      <c r="C3" s="51"/>
      <c r="E3" s="111" t="s">
        <v>110</v>
      </c>
      <c r="F3" s="112">
        <f>F2*10%</f>
        <v>110</v>
      </c>
      <c r="G3" s="112">
        <v>0</v>
      </c>
    </row>
    <row r="4" spans="2:7" ht="12.75">
      <c r="B4" s="51"/>
      <c r="C4" s="51"/>
      <c r="E4" s="104" t="s">
        <v>111</v>
      </c>
      <c r="F4" s="1">
        <f>F2-F3</f>
        <v>990</v>
      </c>
      <c r="G4" s="1">
        <f>G2-G3</f>
        <v>990</v>
      </c>
    </row>
    <row r="5" spans="1:7" ht="15.75">
      <c r="A5" t="s">
        <v>36</v>
      </c>
      <c r="B5" s="51"/>
      <c r="C5" s="51"/>
      <c r="E5" s="111" t="s">
        <v>112</v>
      </c>
      <c r="F5" s="112">
        <v>30</v>
      </c>
      <c r="G5" s="112">
        <v>50</v>
      </c>
    </row>
    <row r="6" spans="2:7" ht="12.75">
      <c r="B6" s="51"/>
      <c r="C6" s="51"/>
      <c r="E6" s="104" t="s">
        <v>113</v>
      </c>
      <c r="F6" s="1">
        <f>F4+F5</f>
        <v>1020</v>
      </c>
      <c r="G6" s="1">
        <f>G4+G5</f>
        <v>1040</v>
      </c>
    </row>
    <row r="7" spans="1:7" ht="15.75">
      <c r="A7" t="s">
        <v>37</v>
      </c>
      <c r="B7" s="51"/>
      <c r="C7" s="51"/>
      <c r="E7" s="111" t="s">
        <v>114</v>
      </c>
      <c r="F7" s="112">
        <f>F6*0%</f>
        <v>0</v>
      </c>
      <c r="G7" s="112">
        <f>G6*2%</f>
        <v>20.8</v>
      </c>
    </row>
    <row r="8" spans="2:7" ht="12.75">
      <c r="B8" s="51"/>
      <c r="C8" s="51"/>
      <c r="E8" s="104" t="s">
        <v>115</v>
      </c>
      <c r="F8" s="1">
        <f>F6-F7</f>
        <v>1020</v>
      </c>
      <c r="G8" s="1">
        <f>G6-G7</f>
        <v>1019.2</v>
      </c>
    </row>
    <row r="9" spans="1:7" ht="15.75">
      <c r="A9" t="s">
        <v>38</v>
      </c>
      <c r="B9" s="51"/>
      <c r="C9" s="51"/>
      <c r="E9" s="111" t="s">
        <v>116</v>
      </c>
      <c r="F9" s="112">
        <v>0</v>
      </c>
      <c r="G9" s="112">
        <v>30</v>
      </c>
    </row>
    <row r="10" spans="2:7" ht="12.75">
      <c r="B10" s="51"/>
      <c r="C10" s="51"/>
      <c r="E10" s="104" t="s">
        <v>117</v>
      </c>
      <c r="F10" s="1">
        <f>F8</f>
        <v>1020</v>
      </c>
      <c r="G10" s="1">
        <f>G8+G9</f>
        <v>1049.2</v>
      </c>
    </row>
    <row r="11" spans="2:7" ht="12.75">
      <c r="B11" s="51"/>
      <c r="C11" s="51"/>
      <c r="E11" s="113" t="s">
        <v>118</v>
      </c>
      <c r="F11" s="1">
        <f>F10/20</f>
        <v>51</v>
      </c>
      <c r="G11" s="1">
        <f>G10/20</f>
        <v>52.46</v>
      </c>
    </row>
    <row r="12" spans="3:7" ht="12.75">
      <c r="C12" s="51"/>
      <c r="G12" s="51"/>
    </row>
    <row r="13" spans="2:11" ht="12.75">
      <c r="B13">
        <v>5</v>
      </c>
      <c r="C13">
        <v>6</v>
      </c>
      <c r="F13">
        <v>5</v>
      </c>
      <c r="G13">
        <v>6</v>
      </c>
      <c r="K13">
        <v>11</v>
      </c>
    </row>
    <row r="17" ht="12.75">
      <c r="A17" s="6" t="s">
        <v>64</v>
      </c>
    </row>
    <row r="18" spans="2:7" ht="12.75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12</v>
      </c>
    </row>
    <row r="19" spans="1:10" ht="12.75">
      <c r="A19" s="16" t="s">
        <v>13</v>
      </c>
      <c r="B19" s="12">
        <v>88000</v>
      </c>
      <c r="C19" s="12"/>
      <c r="D19" s="121">
        <f>B19</f>
        <v>88000</v>
      </c>
      <c r="E19" s="12"/>
      <c r="F19" s="121">
        <f>D19</f>
        <v>88000</v>
      </c>
      <c r="G19" s="13"/>
      <c r="H19" s="1"/>
      <c r="I19" s="1"/>
      <c r="J19" s="1"/>
    </row>
    <row r="20" spans="1:10" ht="12.75">
      <c r="A20" s="16" t="s">
        <v>14</v>
      </c>
      <c r="B20" s="9">
        <v>35600</v>
      </c>
      <c r="C20" s="9"/>
      <c r="D20" s="9"/>
      <c r="E20" s="122">
        <f>B20</f>
        <v>35600</v>
      </c>
      <c r="F20" s="122">
        <f>E20</f>
        <v>35600</v>
      </c>
      <c r="G20" s="14"/>
      <c r="H20" s="1"/>
      <c r="I20" s="1">
        <v>2</v>
      </c>
      <c r="J20" s="1"/>
    </row>
    <row r="21" spans="1:10" ht="12.75">
      <c r="A21" s="16" t="s">
        <v>15</v>
      </c>
      <c r="B21" s="116">
        <v>10200</v>
      </c>
      <c r="C21" s="115">
        <v>470</v>
      </c>
      <c r="D21" s="115">
        <v>1960</v>
      </c>
      <c r="E21" s="115">
        <v>1098</v>
      </c>
      <c r="F21" s="115">
        <v>2352</v>
      </c>
      <c r="G21" s="115">
        <v>3920</v>
      </c>
      <c r="H21" s="1">
        <v>250</v>
      </c>
      <c r="I21" s="1">
        <v>5</v>
      </c>
      <c r="J21" s="1"/>
    </row>
    <row r="22" spans="1:10" ht="12.75">
      <c r="A22" s="16"/>
      <c r="B22" s="11"/>
      <c r="C22" s="1"/>
      <c r="D22" s="1"/>
      <c r="E22" s="1"/>
      <c r="F22" s="1"/>
      <c r="G22" s="1"/>
      <c r="H22" s="117">
        <f>SUM(C21:G21)</f>
        <v>9800</v>
      </c>
      <c r="I22" s="1"/>
      <c r="J22" s="1"/>
    </row>
    <row r="23" spans="1:10" ht="12.75">
      <c r="A23" s="16" t="s">
        <v>27</v>
      </c>
      <c r="B23" s="11">
        <v>130000</v>
      </c>
      <c r="C23" s="1">
        <v>12000</v>
      </c>
      <c r="D23" s="1">
        <v>36000</v>
      </c>
      <c r="E23" s="1">
        <v>17000</v>
      </c>
      <c r="F23" s="1">
        <v>24000</v>
      </c>
      <c r="G23" s="1">
        <v>36000</v>
      </c>
      <c r="H23" s="1"/>
      <c r="I23" s="1"/>
      <c r="J23" s="1"/>
    </row>
    <row r="24" spans="1:10" ht="12.75">
      <c r="A24" s="16" t="s">
        <v>28</v>
      </c>
      <c r="B24" s="11">
        <v>51400</v>
      </c>
      <c r="C24" s="1">
        <f>B24*0.18</f>
        <v>9252</v>
      </c>
      <c r="D24" s="1">
        <f>B24*0.15</f>
        <v>7710</v>
      </c>
      <c r="E24" s="1">
        <f>B24*0.12</f>
        <v>6168</v>
      </c>
      <c r="F24" s="1">
        <f>B24*0.19</f>
        <v>9766</v>
      </c>
      <c r="G24" s="1">
        <f>B24*0.36</f>
        <v>18504</v>
      </c>
      <c r="H24" s="1">
        <f>SUM(C24:G24)</f>
        <v>51400</v>
      </c>
      <c r="I24" s="1"/>
      <c r="J24" s="1"/>
    </row>
    <row r="25" spans="1:10" ht="12.75">
      <c r="A25" s="18" t="s">
        <v>29</v>
      </c>
      <c r="B25" s="9">
        <v>106700</v>
      </c>
      <c r="C25" s="9">
        <v>4644</v>
      </c>
      <c r="D25" s="9">
        <v>12780</v>
      </c>
      <c r="E25" s="9">
        <v>13230</v>
      </c>
      <c r="F25" s="9">
        <v>22696</v>
      </c>
      <c r="G25" s="9">
        <v>53350</v>
      </c>
      <c r="H25" s="1">
        <f>SUM(C25:G25)</f>
        <v>106700</v>
      </c>
      <c r="J25" s="1"/>
    </row>
    <row r="26" spans="1:10" ht="12.75">
      <c r="A26" s="34" t="s">
        <v>23</v>
      </c>
      <c r="B26" s="118">
        <f aca="true" t="shared" si="0" ref="B26:G26">SUM(B21:B25)</f>
        <v>298300</v>
      </c>
      <c r="C26" s="118">
        <f t="shared" si="0"/>
        <v>26366</v>
      </c>
      <c r="D26" s="118">
        <f t="shared" si="0"/>
        <v>58450</v>
      </c>
      <c r="E26" s="118">
        <f t="shared" si="0"/>
        <v>37496</v>
      </c>
      <c r="F26" s="118">
        <f t="shared" si="0"/>
        <v>58814</v>
      </c>
      <c r="G26" s="118">
        <f t="shared" si="0"/>
        <v>111774</v>
      </c>
      <c r="H26" s="1">
        <f>SUM(C26:G26)</f>
        <v>292900</v>
      </c>
      <c r="I26" s="1">
        <v>2.5</v>
      </c>
      <c r="J26" s="1"/>
    </row>
    <row r="27" spans="1:10" ht="12.75">
      <c r="A27" s="74" t="s">
        <v>5</v>
      </c>
      <c r="B27" s="9"/>
      <c r="C27" s="119">
        <f>C26</f>
        <v>26366</v>
      </c>
      <c r="D27" s="114">
        <f>C27*0.2</f>
        <v>5273.200000000001</v>
      </c>
      <c r="E27" s="114">
        <f>C27*0.15</f>
        <v>3954.8999999999996</v>
      </c>
      <c r="F27" s="114">
        <f>C27*0.25</f>
        <v>6591.5</v>
      </c>
      <c r="G27" s="114">
        <f>C27*0.4</f>
        <v>10546.400000000001</v>
      </c>
      <c r="H27" s="1">
        <f>SUM(D27:G27)</f>
        <v>26366</v>
      </c>
      <c r="I27" s="1">
        <v>2</v>
      </c>
      <c r="J27" s="1"/>
    </row>
    <row r="28" spans="1:10" ht="15.75">
      <c r="A28" t="s">
        <v>24</v>
      </c>
      <c r="B28" s="1">
        <f>B26</f>
        <v>298300</v>
      </c>
      <c r="C28" s="115">
        <v>0</v>
      </c>
      <c r="D28" s="125">
        <f>D26+D27</f>
        <v>63723.2</v>
      </c>
      <c r="E28" s="125">
        <f>E26+E27</f>
        <v>41450.9</v>
      </c>
      <c r="F28" s="125">
        <f>F26+F27</f>
        <v>65405.5</v>
      </c>
      <c r="G28" s="125">
        <f>G26+G27</f>
        <v>122320.4</v>
      </c>
      <c r="H28" s="1">
        <f>SUM(D28:G28)</f>
        <v>292900</v>
      </c>
      <c r="I28" s="1">
        <v>1</v>
      </c>
      <c r="J28" s="1"/>
    </row>
    <row r="29" spans="1:9" s="4" customFormat="1" ht="12.75">
      <c r="A29" s="75" t="s">
        <v>6</v>
      </c>
      <c r="B29" s="75"/>
      <c r="C29" s="75"/>
      <c r="D29" s="123">
        <f>D19</f>
        <v>88000</v>
      </c>
      <c r="E29" s="123">
        <f>E20</f>
        <v>35600</v>
      </c>
      <c r="F29" s="123">
        <f>F19+F20</f>
        <v>123600</v>
      </c>
      <c r="G29" s="124">
        <v>3100</v>
      </c>
      <c r="H29" s="4" t="s">
        <v>16</v>
      </c>
      <c r="I29" s="4">
        <v>1.5</v>
      </c>
    </row>
    <row r="30" spans="1:9" ht="12.75">
      <c r="A30" s="51" t="s">
        <v>119</v>
      </c>
      <c r="D30" s="126">
        <f>D28/D29</f>
        <v>0.7241272727272727</v>
      </c>
      <c r="E30" s="126">
        <f>E28/E29</f>
        <v>1.1643511235955057</v>
      </c>
      <c r="F30" s="126">
        <f>F28/F29</f>
        <v>0.52917071197411</v>
      </c>
      <c r="G30" s="127">
        <f>G28/G29</f>
        <v>39.458193548387094</v>
      </c>
      <c r="H30" t="s">
        <v>17</v>
      </c>
      <c r="I30" s="1">
        <v>2</v>
      </c>
    </row>
    <row r="32" spans="3:11" ht="12.75">
      <c r="C32">
        <v>20</v>
      </c>
      <c r="D32">
        <v>80</v>
      </c>
      <c r="E32" s="2">
        <v>30</v>
      </c>
      <c r="F32">
        <v>70</v>
      </c>
      <c r="G32">
        <v>100</v>
      </c>
      <c r="H32">
        <f>SUM(C32:G32)</f>
        <v>300</v>
      </c>
      <c r="K32" s="2">
        <f>SUM(I19:I30)</f>
        <v>16</v>
      </c>
    </row>
    <row r="33" spans="3:6" ht="12.75">
      <c r="C33" s="1"/>
      <c r="D33" s="1"/>
      <c r="E33" s="1"/>
      <c r="F33" s="1"/>
    </row>
    <row r="34" spans="1:7" ht="12.75">
      <c r="A34" s="6" t="s">
        <v>8</v>
      </c>
      <c r="C34" s="66" t="s">
        <v>79</v>
      </c>
      <c r="D34" s="1"/>
      <c r="E34" s="1"/>
      <c r="F34" s="1"/>
      <c r="G34" s="1"/>
    </row>
    <row r="35" spans="1:7" ht="12.75">
      <c r="A35" s="6" t="s">
        <v>9</v>
      </c>
      <c r="B35" s="5">
        <f>D30+F30</f>
        <v>1.2532979847013828</v>
      </c>
      <c r="C35" s="3">
        <v>150</v>
      </c>
      <c r="D35" s="128">
        <f>D30+F30</f>
        <v>1.2532979847013828</v>
      </c>
      <c r="E35" s="1"/>
      <c r="F35" s="1"/>
      <c r="G35" s="3"/>
    </row>
    <row r="36" spans="1:11" ht="12.75">
      <c r="A36" s="6" t="s">
        <v>7</v>
      </c>
      <c r="B36" s="5">
        <f>E30+F30</f>
        <v>1.6935218355696158</v>
      </c>
      <c r="C36">
        <v>234</v>
      </c>
      <c r="D36" s="129">
        <f>E30+F30</f>
        <v>1.6935218355696158</v>
      </c>
      <c r="K36">
        <v>2</v>
      </c>
    </row>
    <row r="37" spans="1:2" ht="12.75">
      <c r="A37" s="6"/>
      <c r="B37" s="5"/>
    </row>
    <row r="38" spans="2:6" s="98" customFormat="1" ht="10.5">
      <c r="B38" s="98" t="s">
        <v>9</v>
      </c>
      <c r="D38" s="99" t="s">
        <v>7</v>
      </c>
      <c r="E38" s="99"/>
      <c r="F38" s="99" t="s">
        <v>12</v>
      </c>
    </row>
    <row r="39" spans="2:6" s="98" customFormat="1" ht="10.5">
      <c r="B39" s="99">
        <v>197800</v>
      </c>
      <c r="D39" s="99">
        <v>142325</v>
      </c>
      <c r="E39" s="99"/>
      <c r="F39" s="99">
        <v>159270</v>
      </c>
    </row>
    <row r="40" spans="1:6" s="98" customFormat="1" ht="10.5">
      <c r="A40" s="98" t="s">
        <v>75</v>
      </c>
      <c r="B40" s="100">
        <f>B39-B19</f>
        <v>109800</v>
      </c>
      <c r="D40" s="99">
        <f>D39-E20</f>
        <v>106725</v>
      </c>
      <c r="E40" s="99"/>
      <c r="F40" s="99"/>
    </row>
    <row r="41" spans="1:11" s="98" customFormat="1" ht="10.5">
      <c r="A41" s="98" t="s">
        <v>31</v>
      </c>
      <c r="B41" s="101">
        <f>B40/D19</f>
        <v>1.2477272727272728</v>
      </c>
      <c r="D41" s="101">
        <f>D40/E20</f>
        <v>2.9978932584269664</v>
      </c>
      <c r="E41" s="99"/>
      <c r="F41" s="99"/>
      <c r="K41" s="98">
        <v>6</v>
      </c>
    </row>
    <row r="42" spans="2:6" s="98" customFormat="1" ht="10.5">
      <c r="B42" s="101"/>
      <c r="D42" s="101"/>
      <c r="E42" s="99"/>
      <c r="F42" s="99"/>
    </row>
    <row r="43" spans="2:6" s="51" customFormat="1" ht="12.75">
      <c r="B43" s="103"/>
      <c r="D43" s="103"/>
      <c r="E43" s="66"/>
      <c r="F43" s="66"/>
    </row>
    <row r="44" spans="1:19" s="51" customFormat="1" ht="12.75">
      <c r="A44" s="130" t="s">
        <v>89</v>
      </c>
      <c r="B44" s="103"/>
      <c r="C44" s="137">
        <v>6</v>
      </c>
      <c r="D44" s="103"/>
      <c r="E44" s="66" t="s">
        <v>105</v>
      </c>
      <c r="F44" s="138">
        <f>C48</f>
        <v>17.30532852250662</v>
      </c>
      <c r="N44" s="51" t="s">
        <v>89</v>
      </c>
      <c r="O44" s="103"/>
      <c r="P44" s="105">
        <v>5</v>
      </c>
      <c r="Q44" s="103"/>
      <c r="R44" s="66" t="s">
        <v>105</v>
      </c>
      <c r="S44" s="66">
        <f>P48</f>
        <v>14.814370095632887</v>
      </c>
    </row>
    <row r="45" spans="1:19" s="51" customFormat="1" ht="15.75">
      <c r="A45" s="131" t="s">
        <v>102</v>
      </c>
      <c r="B45" s="133">
        <f>D35</f>
        <v>1.2532979847013828</v>
      </c>
      <c r="C45" s="136">
        <f>C44*B45</f>
        <v>7.519787908208297</v>
      </c>
      <c r="D45" s="103"/>
      <c r="E45" s="108" t="s">
        <v>108</v>
      </c>
      <c r="F45" s="139">
        <f>-C44</f>
        <v>-6</v>
      </c>
      <c r="N45" s="106" t="s">
        <v>102</v>
      </c>
      <c r="O45" s="103">
        <f>D36</f>
        <v>1.6935218355696158</v>
      </c>
      <c r="P45" s="105">
        <f>P44*O45</f>
        <v>8.467609177848079</v>
      </c>
      <c r="Q45" s="103"/>
      <c r="R45" s="108" t="s">
        <v>108</v>
      </c>
      <c r="S45" s="66">
        <f>-P44</f>
        <v>-5</v>
      </c>
    </row>
    <row r="46" spans="1:19" s="51" customFormat="1" ht="12.75">
      <c r="A46" s="130" t="s">
        <v>103</v>
      </c>
      <c r="B46" s="103"/>
      <c r="C46" s="135">
        <f>C44+C45</f>
        <v>13.519787908208297</v>
      </c>
      <c r="D46" s="103"/>
      <c r="E46" s="66" t="s">
        <v>70</v>
      </c>
      <c r="F46" s="138">
        <f>F44+F45</f>
        <v>11.30532852250662</v>
      </c>
      <c r="N46" s="51" t="s">
        <v>103</v>
      </c>
      <c r="O46" s="103"/>
      <c r="P46" s="105">
        <f>P44+P45</f>
        <v>13.467609177848079</v>
      </c>
      <c r="Q46" s="103"/>
      <c r="R46" s="66" t="s">
        <v>70</v>
      </c>
      <c r="S46" s="66">
        <f>S44+S45</f>
        <v>9.814370095632887</v>
      </c>
    </row>
    <row r="47" spans="1:19" s="51" customFormat="1" ht="15.75">
      <c r="A47" s="132" t="s">
        <v>104</v>
      </c>
      <c r="B47" s="133">
        <v>0.28</v>
      </c>
      <c r="C47" s="136">
        <f>C46*B47</f>
        <v>3.7855406142983234</v>
      </c>
      <c r="D47" s="103"/>
      <c r="E47" s="66"/>
      <c r="F47" s="66"/>
      <c r="N47" s="104" t="s">
        <v>104</v>
      </c>
      <c r="O47" s="103">
        <v>0.1</v>
      </c>
      <c r="P47" s="105">
        <f>P46*O47</f>
        <v>1.3467609177848079</v>
      </c>
      <c r="Q47" s="103"/>
      <c r="R47" s="66"/>
      <c r="S47" s="66"/>
    </row>
    <row r="48" spans="1:19" s="51" customFormat="1" ht="12.75">
      <c r="A48" s="130" t="s">
        <v>105</v>
      </c>
      <c r="B48" s="103"/>
      <c r="C48" s="137">
        <f>C46+C47</f>
        <v>17.30532852250662</v>
      </c>
      <c r="D48" s="103"/>
      <c r="E48" s="108" t="s">
        <v>120</v>
      </c>
      <c r="F48" s="140">
        <f>F46/F45</f>
        <v>-1.88422142041777</v>
      </c>
      <c r="N48" s="51" t="s">
        <v>105</v>
      </c>
      <c r="O48" s="103"/>
      <c r="P48" s="105">
        <f>P46+P47</f>
        <v>14.814370095632887</v>
      </c>
      <c r="Q48" s="103"/>
      <c r="R48" s="66"/>
      <c r="S48" s="109">
        <f>S46/S45</f>
        <v>-1.9628740191265774</v>
      </c>
    </row>
    <row r="49" spans="1:16" s="51" customFormat="1" ht="15.75">
      <c r="A49" s="132" t="s">
        <v>106</v>
      </c>
      <c r="B49" s="134">
        <v>0.1</v>
      </c>
      <c r="C49" s="136">
        <f>C48*B49</f>
        <v>1.7305328522506622</v>
      </c>
      <c r="N49" s="104" t="s">
        <v>106</v>
      </c>
      <c r="O49" s="107">
        <v>0.1</v>
      </c>
      <c r="P49" s="105">
        <f>P48*O49</f>
        <v>1.4814370095632887</v>
      </c>
    </row>
    <row r="50" spans="1:16" s="51" customFormat="1" ht="12.75">
      <c r="A50" s="130" t="s">
        <v>107</v>
      </c>
      <c r="B50" s="5"/>
      <c r="C50" s="135">
        <f>C48+C49</f>
        <v>19.035861374757282</v>
      </c>
      <c r="N50" s="51" t="s">
        <v>107</v>
      </c>
      <c r="O50" s="5"/>
      <c r="P50" s="105">
        <f>P48+P49</f>
        <v>16.295807105196175</v>
      </c>
    </row>
    <row r="51" spans="1:3" s="51" customFormat="1" ht="12.75">
      <c r="A51" s="6"/>
      <c r="B51" s="5"/>
      <c r="C51" s="105"/>
    </row>
    <row r="52" spans="1:2" s="51" customFormat="1" ht="12.75">
      <c r="A52" s="6"/>
      <c r="B52" s="102"/>
    </row>
    <row r="53" spans="1:11" ht="12.75">
      <c r="A53" s="6"/>
      <c r="B53" s="7" t="s">
        <v>76</v>
      </c>
      <c r="K53">
        <v>4</v>
      </c>
    </row>
    <row r="54" spans="1:2" ht="12.75">
      <c r="A54" s="6"/>
      <c r="B54" s="7"/>
    </row>
    <row r="55" spans="1:2" ht="12.75">
      <c r="A55" s="6"/>
      <c r="B55" s="7"/>
    </row>
    <row r="56" spans="1:4" ht="12.75">
      <c r="A56" s="6" t="s">
        <v>20</v>
      </c>
      <c r="B56" s="5" t="s">
        <v>21</v>
      </c>
      <c r="D56" s="6" t="s">
        <v>12</v>
      </c>
    </row>
    <row r="57" spans="1:5" ht="12.75">
      <c r="A57" s="141" t="s">
        <v>19</v>
      </c>
      <c r="B57" s="87">
        <f>B39+D39+F39</f>
        <v>499395</v>
      </c>
      <c r="D57" s="115">
        <f>F39</f>
        <v>159270</v>
      </c>
      <c r="E57" s="2"/>
    </row>
    <row r="58" spans="1:4" ht="12.75">
      <c r="A58" s="141" t="s">
        <v>11</v>
      </c>
      <c r="B58" s="115">
        <f>F29</f>
        <v>123600</v>
      </c>
      <c r="D58" s="1"/>
    </row>
    <row r="59" spans="1:5" ht="12.75">
      <c r="A59" s="130" t="s">
        <v>121</v>
      </c>
      <c r="B59" s="114">
        <f>B28</f>
        <v>298300</v>
      </c>
      <c r="D59" s="114">
        <f>G28</f>
        <v>122320.4</v>
      </c>
      <c r="E59" s="2"/>
    </row>
    <row r="60" spans="2:12" ht="12.75">
      <c r="B60" s="142">
        <f>B57-B58-B59</f>
        <v>77495</v>
      </c>
      <c r="D60" s="120">
        <f>D57-D59</f>
        <v>36949.600000000006</v>
      </c>
      <c r="H60" s="2"/>
      <c r="K60">
        <v>5</v>
      </c>
      <c r="L60" s="110">
        <f>K32+K36+K41+K53+K60</f>
        <v>33</v>
      </c>
    </row>
    <row r="61" spans="4:6" ht="12.75">
      <c r="D61" s="1"/>
      <c r="E61" s="1"/>
      <c r="F61" s="1"/>
    </row>
    <row r="62" spans="4:6" ht="12.75">
      <c r="D62" s="1"/>
      <c r="E62" s="1"/>
      <c r="F62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ht="12.75">
      <c r="A70" s="6" t="s">
        <v>46</v>
      </c>
    </row>
    <row r="71" spans="1:4" ht="12.75">
      <c r="A71" s="6"/>
      <c r="B71" s="43"/>
      <c r="C71" s="42"/>
      <c r="D71" s="40"/>
    </row>
    <row r="72" spans="1:5" ht="12.75">
      <c r="A72" s="6"/>
      <c r="B72" s="16" t="s">
        <v>50</v>
      </c>
      <c r="C72" s="10">
        <v>15.3</v>
      </c>
      <c r="D72" s="143">
        <f>C72*E72</f>
        <v>26.01</v>
      </c>
      <c r="E72">
        <v>1.7</v>
      </c>
    </row>
    <row r="73" spans="1:5" ht="12.75">
      <c r="A73" s="6"/>
      <c r="B73" s="16" t="s">
        <v>51</v>
      </c>
      <c r="C73" s="10">
        <v>0.92</v>
      </c>
      <c r="D73" s="143">
        <f>C73*2.2</f>
        <v>2.0240000000000005</v>
      </c>
      <c r="E73">
        <v>2.2</v>
      </c>
    </row>
    <row r="74" spans="1:5" ht="12.75">
      <c r="A74" s="6"/>
      <c r="B74" s="16" t="s">
        <v>52</v>
      </c>
      <c r="C74" s="10">
        <v>1.25</v>
      </c>
      <c r="D74" s="143">
        <f>C74*0.3</f>
        <v>0.375</v>
      </c>
      <c r="E74">
        <v>0.3</v>
      </c>
    </row>
    <row r="75" spans="1:5" ht="12.75">
      <c r="A75" s="6"/>
      <c r="B75" s="16" t="s">
        <v>53</v>
      </c>
      <c r="C75" s="54">
        <v>6.8</v>
      </c>
      <c r="D75" s="143">
        <f>C75*E75</f>
        <v>2.72</v>
      </c>
      <c r="E75">
        <v>0.4</v>
      </c>
    </row>
    <row r="76" spans="1:5" ht="12.75">
      <c r="A76" s="6"/>
      <c r="B76" s="16" t="s">
        <v>54</v>
      </c>
      <c r="C76" s="54">
        <v>1.24</v>
      </c>
      <c r="D76" s="143">
        <f>C76*E76</f>
        <v>0.124</v>
      </c>
      <c r="E76">
        <v>0.1</v>
      </c>
    </row>
    <row r="77" spans="1:5" ht="12.75">
      <c r="A77" s="6"/>
      <c r="B77" s="16" t="s">
        <v>55</v>
      </c>
      <c r="C77" s="54">
        <v>3.2</v>
      </c>
      <c r="D77" s="143">
        <f>C77*E77</f>
        <v>0.48</v>
      </c>
      <c r="E77">
        <v>0.15</v>
      </c>
    </row>
    <row r="78" spans="1:5" ht="12.75">
      <c r="A78" s="6"/>
      <c r="B78" s="55" t="s">
        <v>56</v>
      </c>
      <c r="C78" s="54">
        <v>1.8</v>
      </c>
      <c r="D78" s="143">
        <f>C78*E78</f>
        <v>0.45</v>
      </c>
      <c r="E78">
        <v>0.25</v>
      </c>
    </row>
    <row r="79" spans="1:4" ht="12.75">
      <c r="A79" s="6"/>
      <c r="B79" s="16" t="s">
        <v>57</v>
      </c>
      <c r="C79" s="54">
        <v>1.9</v>
      </c>
      <c r="D79" s="143">
        <v>1.9</v>
      </c>
    </row>
    <row r="80" spans="1:4" ht="12.75">
      <c r="A80" s="6"/>
      <c r="B80" s="16" t="s">
        <v>58</v>
      </c>
      <c r="C80" s="10"/>
      <c r="D80" s="143">
        <v>0.8</v>
      </c>
    </row>
    <row r="81" spans="1:4" ht="12.75">
      <c r="A81" s="6"/>
      <c r="B81" s="61" t="s">
        <v>68</v>
      </c>
      <c r="C81" s="10"/>
      <c r="D81" s="143">
        <v>5</v>
      </c>
    </row>
    <row r="82" spans="1:4" ht="15.75">
      <c r="A82" s="6"/>
      <c r="B82" s="16"/>
      <c r="C82" s="10"/>
      <c r="D82" s="144">
        <f>SUM(D72:D81)</f>
        <v>39.882999999999996</v>
      </c>
    </row>
    <row r="83" spans="1:11" ht="12.75">
      <c r="A83" s="6"/>
      <c r="B83" s="16"/>
      <c r="C83" s="10"/>
      <c r="D83" s="143">
        <f>D82/10</f>
        <v>3.9882999999999997</v>
      </c>
      <c r="F83" t="s">
        <v>77</v>
      </c>
      <c r="K83">
        <v>10</v>
      </c>
    </row>
    <row r="84" spans="1:4" ht="12.75">
      <c r="A84" s="6"/>
      <c r="B84" s="16"/>
      <c r="C84" s="10"/>
      <c r="D84" s="53"/>
    </row>
    <row r="85" spans="1:4" ht="12.75">
      <c r="A85" s="6"/>
      <c r="B85" s="62" t="s">
        <v>69</v>
      </c>
      <c r="C85" s="42"/>
      <c r="D85" s="45"/>
    </row>
    <row r="86" spans="1:4" ht="12.75">
      <c r="A86" s="6"/>
      <c r="B86" s="16" t="s">
        <v>10</v>
      </c>
      <c r="C86" s="56"/>
      <c r="D86" s="53">
        <f>D83</f>
        <v>3.9882999999999997</v>
      </c>
    </row>
    <row r="87" spans="1:4" ht="12.75">
      <c r="A87" s="6"/>
      <c r="B87" s="61" t="s">
        <v>70</v>
      </c>
      <c r="C87" s="21">
        <v>2.2</v>
      </c>
      <c r="D87" s="53">
        <f>D86*C87</f>
        <v>8.77426</v>
      </c>
    </row>
    <row r="88" spans="1:9" ht="12.75">
      <c r="A88" s="6"/>
      <c r="B88" s="16"/>
      <c r="C88" s="10"/>
      <c r="D88" s="53">
        <f>SUM(D86:D87)</f>
        <v>12.76256</v>
      </c>
      <c r="H88" s="2"/>
      <c r="I88" s="60"/>
    </row>
    <row r="89" spans="1:8" ht="12.75">
      <c r="A89" s="6"/>
      <c r="B89" s="16"/>
      <c r="C89" s="21"/>
      <c r="D89" s="53">
        <f>D88*C89</f>
        <v>0</v>
      </c>
      <c r="H89" s="2"/>
    </row>
    <row r="90" spans="2:8" ht="12.75">
      <c r="B90" s="16"/>
      <c r="C90" s="10"/>
      <c r="D90" s="53">
        <f>SUM(D88:D89)</f>
        <v>12.76256</v>
      </c>
      <c r="H90" s="2"/>
    </row>
    <row r="91" spans="1:8" ht="12.75">
      <c r="A91" s="32"/>
      <c r="B91" s="16" t="s">
        <v>60</v>
      </c>
      <c r="C91" s="57">
        <v>0.105</v>
      </c>
      <c r="D91" s="53">
        <f>D90*C91</f>
        <v>1.3400688</v>
      </c>
      <c r="H91" s="2"/>
    </row>
    <row r="92" spans="2:8" ht="12.75">
      <c r="B92" s="16"/>
      <c r="C92" s="10"/>
      <c r="D92" s="53">
        <f>SUM(D90:D91)</f>
        <v>14.102628800000002</v>
      </c>
      <c r="H92" s="2"/>
    </row>
    <row r="93" spans="2:8" ht="12.75">
      <c r="B93" s="18" t="s">
        <v>61</v>
      </c>
      <c r="C93" s="58">
        <v>0.1</v>
      </c>
      <c r="D93" s="14">
        <f>D92*0.1</f>
        <v>1.4102628800000003</v>
      </c>
      <c r="H93" s="1"/>
    </row>
    <row r="94" spans="2:11" ht="15.75">
      <c r="B94" s="16"/>
      <c r="C94" s="10"/>
      <c r="D94" s="145">
        <f>SUM(D92:D93)</f>
        <v>15.512891680000003</v>
      </c>
      <c r="F94" t="s">
        <v>78</v>
      </c>
      <c r="K94">
        <v>5</v>
      </c>
    </row>
    <row r="95" spans="1:4" ht="12.75">
      <c r="A95" s="51" t="s">
        <v>71</v>
      </c>
      <c r="B95" s="51" t="s">
        <v>72</v>
      </c>
      <c r="C95" s="10"/>
      <c r="D95" s="17"/>
    </row>
    <row r="96" spans="1:5" ht="12.75">
      <c r="A96" s="16" t="s">
        <v>10</v>
      </c>
      <c r="C96" s="1">
        <v>0.9</v>
      </c>
      <c r="D96" s="10"/>
      <c r="E96" s="1">
        <v>0.9</v>
      </c>
    </row>
    <row r="97" spans="1:6" ht="12.75">
      <c r="A97" s="61" t="s">
        <v>70</v>
      </c>
      <c r="B97" s="65">
        <v>2.7</v>
      </c>
      <c r="C97" s="9">
        <f>C96*B97</f>
        <v>2.43</v>
      </c>
      <c r="E97" s="76">
        <f>E98-E96</f>
        <v>3.2478129713423827</v>
      </c>
      <c r="F97" s="64">
        <f>E97/E96</f>
        <v>3.608681079269314</v>
      </c>
    </row>
    <row r="98" spans="1:5" ht="12.75">
      <c r="A98" s="16"/>
      <c r="C98" s="1">
        <f>SUM(C96:C97)</f>
        <v>3.33</v>
      </c>
      <c r="E98" s="1">
        <f>E100-E99</f>
        <v>4.147812971342383</v>
      </c>
    </row>
    <row r="99" spans="1:5" ht="12.75">
      <c r="A99" s="16" t="s">
        <v>60</v>
      </c>
      <c r="C99" s="9">
        <f>C98*10.5%</f>
        <v>0.34965</v>
      </c>
      <c r="E99" s="1">
        <f>E100*10.5/110.5</f>
        <v>0.43552036199095023</v>
      </c>
    </row>
    <row r="100" spans="1:5" ht="12.75">
      <c r="A100" s="16"/>
      <c r="C100" s="1">
        <f>SUM(C98:C99)</f>
        <v>3.67965</v>
      </c>
      <c r="E100" s="1">
        <f>E102-E101</f>
        <v>4.583333333333333</v>
      </c>
    </row>
    <row r="101" spans="1:5" ht="12.75">
      <c r="A101" s="63">
        <v>0.2</v>
      </c>
      <c r="C101" s="9">
        <f>C100*A101</f>
        <v>0.7359300000000001</v>
      </c>
      <c r="E101" s="1">
        <f>E102/6</f>
        <v>0.9166666666666666</v>
      </c>
    </row>
    <row r="102" spans="3:11" ht="12.75">
      <c r="C102" s="1">
        <f>SUM(C100:C101)</f>
        <v>4.41558</v>
      </c>
      <c r="D102" t="s">
        <v>78</v>
      </c>
      <c r="E102" s="1">
        <v>5.5</v>
      </c>
      <c r="G102" t="s">
        <v>78</v>
      </c>
      <c r="K102">
        <v>10</v>
      </c>
    </row>
    <row r="105" spans="1:3" ht="12.75">
      <c r="A105" s="51" t="s">
        <v>73</v>
      </c>
      <c r="C105" s="8"/>
    </row>
    <row r="106" spans="1:4" ht="12.75">
      <c r="A106" s="51" t="s">
        <v>74</v>
      </c>
      <c r="B106" s="15">
        <v>30</v>
      </c>
      <c r="D106" s="15">
        <v>30</v>
      </c>
    </row>
    <row r="107" spans="1:5" ht="12.75">
      <c r="A107" s="65">
        <v>0.5</v>
      </c>
      <c r="B107" s="1">
        <f>B106*A107</f>
        <v>15</v>
      </c>
      <c r="D107" s="76">
        <f>D108-D106</f>
        <v>8.67256637168142</v>
      </c>
      <c r="E107" s="77">
        <f>D107/D106</f>
        <v>0.289085545722714</v>
      </c>
    </row>
    <row r="108" spans="2:4" ht="12.75">
      <c r="B108" s="1">
        <f>SUM(B106:B107)</f>
        <v>45</v>
      </c>
      <c r="D108" s="1">
        <f>D110-D109</f>
        <v>38.67256637168142</v>
      </c>
    </row>
    <row r="109" spans="1:4" ht="12.75">
      <c r="A109" s="65">
        <v>0.13</v>
      </c>
      <c r="B109" s="1">
        <f>B108*A109</f>
        <v>5.8500000000000005</v>
      </c>
      <c r="D109" s="1">
        <f>D110/113*13</f>
        <v>5.027433628318584</v>
      </c>
    </row>
    <row r="110" spans="2:4" ht="12.75">
      <c r="B110" s="1">
        <f>SUM(B108:B109)</f>
        <v>50.85</v>
      </c>
      <c r="D110" s="1">
        <f>D112-D111</f>
        <v>43.7</v>
      </c>
    </row>
    <row r="111" spans="1:5" ht="12.75">
      <c r="A111" s="51" t="s">
        <v>80</v>
      </c>
      <c r="B111" s="9">
        <v>1.3</v>
      </c>
      <c r="D111" s="1">
        <v>1.3</v>
      </c>
      <c r="E111" s="78" t="s">
        <v>81</v>
      </c>
    </row>
    <row r="112" spans="2:11" ht="12.75">
      <c r="B112" s="1">
        <f>SUM(B110:B111)</f>
        <v>52.15</v>
      </c>
      <c r="D112" s="1">
        <v>45</v>
      </c>
      <c r="F112" t="s">
        <v>77</v>
      </c>
      <c r="G112">
        <v>74</v>
      </c>
      <c r="K112">
        <v>10</v>
      </c>
    </row>
    <row r="113" ht="12.75">
      <c r="B113" s="1"/>
    </row>
    <row r="114" ht="12.75">
      <c r="B114" s="1"/>
    </row>
    <row r="116" ht="15">
      <c r="A116" s="79" t="s">
        <v>101</v>
      </c>
    </row>
    <row r="118" ht="12.75">
      <c r="C118" t="s">
        <v>82</v>
      </c>
    </row>
    <row r="119" spans="2:4" ht="12.75">
      <c r="B119" t="s">
        <v>21</v>
      </c>
      <c r="C119" s="80" t="s">
        <v>83</v>
      </c>
      <c r="D119" s="80" t="s">
        <v>84</v>
      </c>
    </row>
    <row r="120" spans="1:4" ht="15.75">
      <c r="A120" s="97" t="s">
        <v>85</v>
      </c>
      <c r="B120" s="89">
        <v>300</v>
      </c>
      <c r="C120" s="93">
        <v>400</v>
      </c>
      <c r="D120" s="80"/>
    </row>
    <row r="121" spans="1:4" ht="15.75">
      <c r="A121" s="97" t="s">
        <v>86</v>
      </c>
      <c r="B121" s="89">
        <v>150</v>
      </c>
      <c r="C121" s="93">
        <v>200</v>
      </c>
      <c r="D121" s="80"/>
    </row>
    <row r="122" spans="1:4" ht="15.75">
      <c r="A122" s="97" t="s">
        <v>87</v>
      </c>
      <c r="B122" s="94">
        <v>300</v>
      </c>
      <c r="C122" s="90">
        <v>350</v>
      </c>
      <c r="D122" s="80"/>
    </row>
    <row r="123" spans="1:4" ht="15.75">
      <c r="A123" s="97" t="s">
        <v>88</v>
      </c>
      <c r="B123" s="94">
        <v>15</v>
      </c>
      <c r="C123" s="93">
        <v>20</v>
      </c>
      <c r="D123" s="82"/>
    </row>
    <row r="124" spans="1:4" ht="15.75">
      <c r="A124" s="97" t="s">
        <v>89</v>
      </c>
      <c r="B124" s="94">
        <v>1.1</v>
      </c>
      <c r="C124" s="91"/>
      <c r="D124" s="83">
        <v>1</v>
      </c>
    </row>
    <row r="125" spans="1:4" ht="16.5" thickBot="1">
      <c r="A125" s="97" t="s">
        <v>90</v>
      </c>
      <c r="B125" s="94">
        <v>0.1</v>
      </c>
      <c r="C125" s="92"/>
      <c r="D125" s="84">
        <v>0</v>
      </c>
    </row>
    <row r="126" spans="1:11" ht="15">
      <c r="A126" s="95"/>
      <c r="B126" s="95"/>
      <c r="C126" s="96">
        <f>SUM(C120:C124)</f>
        <v>970</v>
      </c>
      <c r="D126" s="85">
        <f>SUM(D124:D125)</f>
        <v>1</v>
      </c>
      <c r="E126" t="s">
        <v>91</v>
      </c>
      <c r="F126">
        <v>6</v>
      </c>
      <c r="K126">
        <v>6</v>
      </c>
    </row>
    <row r="127" ht="15">
      <c r="A127" s="95"/>
    </row>
    <row r="128" spans="1:2" ht="15.75">
      <c r="A128" s="97" t="s">
        <v>19</v>
      </c>
      <c r="B128" s="81">
        <v>4.5</v>
      </c>
    </row>
    <row r="129" spans="1:2" ht="15.75">
      <c r="A129" s="97" t="s">
        <v>92</v>
      </c>
      <c r="B129" s="86">
        <f>B128/11</f>
        <v>0.4090909090909091</v>
      </c>
    </row>
    <row r="130" spans="1:2" ht="15.75">
      <c r="A130" s="97" t="s">
        <v>93</v>
      </c>
      <c r="B130" s="87">
        <f>B128-B129</f>
        <v>4.090909090909091</v>
      </c>
    </row>
    <row r="131" spans="1:2" ht="16.5" thickBot="1">
      <c r="A131" s="97" t="s">
        <v>94</v>
      </c>
      <c r="B131" s="88">
        <f>D126</f>
        <v>1</v>
      </c>
    </row>
    <row r="132" spans="1:11" ht="15.75">
      <c r="A132" s="97" t="s">
        <v>95</v>
      </c>
      <c r="B132" s="87">
        <f>B130-B131</f>
        <v>3.090909090909091</v>
      </c>
      <c r="F132">
        <v>3</v>
      </c>
      <c r="K132">
        <v>3</v>
      </c>
    </row>
    <row r="133" ht="15">
      <c r="A133" s="95"/>
    </row>
    <row r="134" spans="1:6" ht="15.75">
      <c r="A134" s="97" t="s">
        <v>96</v>
      </c>
      <c r="B134" s="19" t="s">
        <v>97</v>
      </c>
      <c r="C134" s="86">
        <f>C126</f>
        <v>970</v>
      </c>
      <c r="D134" s="1">
        <f>C134/C135</f>
        <v>313.8235294117647</v>
      </c>
      <c r="E134" t="s">
        <v>98</v>
      </c>
      <c r="F134" t="s">
        <v>99</v>
      </c>
    </row>
    <row r="135" spans="2:3" ht="12.75">
      <c r="B135" t="s">
        <v>95</v>
      </c>
      <c r="C135" s="2">
        <f>B132</f>
        <v>3.090909090909091</v>
      </c>
    </row>
    <row r="136" spans="6:11" ht="12.75">
      <c r="F136">
        <v>3</v>
      </c>
      <c r="K136">
        <v>3</v>
      </c>
    </row>
    <row r="137" ht="15">
      <c r="A137" s="95" t="s">
        <v>100</v>
      </c>
    </row>
    <row r="138" spans="1:11" ht="15">
      <c r="A138" s="95" t="s">
        <v>76</v>
      </c>
      <c r="B138" s="95"/>
      <c r="C138" s="95"/>
      <c r="D138" s="95"/>
      <c r="K138">
        <v>4</v>
      </c>
    </row>
    <row r="139" ht="12.75">
      <c r="K139">
        <f>SUM(K1:K138)</f>
        <v>95</v>
      </c>
    </row>
    <row r="141" spans="10:11" ht="12.75">
      <c r="J141">
        <v>1</v>
      </c>
      <c r="K141">
        <v>11</v>
      </c>
    </row>
    <row r="142" spans="10:11" ht="12.75">
      <c r="J142">
        <v>2</v>
      </c>
      <c r="K142">
        <v>33</v>
      </c>
    </row>
    <row r="143" spans="10:11" ht="12.75">
      <c r="J143">
        <v>4</v>
      </c>
      <c r="K143">
        <v>15</v>
      </c>
    </row>
    <row r="144" spans="10:11" ht="12.75">
      <c r="J144">
        <v>5</v>
      </c>
      <c r="K144">
        <v>10</v>
      </c>
    </row>
    <row r="145" spans="10:11" ht="12.75">
      <c r="J145">
        <v>6</v>
      </c>
      <c r="K145">
        <v>10</v>
      </c>
    </row>
    <row r="146" spans="10:11" ht="12.75">
      <c r="J146">
        <v>7</v>
      </c>
      <c r="K146">
        <f>6+3+3+2+2</f>
        <v>16</v>
      </c>
    </row>
    <row r="147" ht="12.75">
      <c r="K147">
        <f>SUM(K141:K146)</f>
        <v>95</v>
      </c>
    </row>
  </sheetData>
  <sheetProtection/>
  <printOptions/>
  <pageMargins left="0.24" right="0.14" top="0.52" bottom="0.47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selection activeCell="H118" sqref="H118"/>
    </sheetView>
  </sheetViews>
  <sheetFormatPr defaultColWidth="11.421875" defaultRowHeight="12.75"/>
  <cols>
    <col min="1" max="1" width="28.8515625" style="0" customWidth="1"/>
    <col min="2" max="2" width="18.421875" style="0" customWidth="1"/>
    <col min="3" max="3" width="15.421875" style="0" bestFit="1" customWidth="1"/>
    <col min="4" max="4" width="15.7109375" style="0" customWidth="1"/>
    <col min="5" max="5" width="16.421875" style="0" customWidth="1"/>
    <col min="6" max="6" width="16.28125" style="0" bestFit="1" customWidth="1"/>
    <col min="7" max="7" width="17.140625" style="0" bestFit="1" customWidth="1"/>
    <col min="8" max="8" width="11.140625" style="0" bestFit="1" customWidth="1"/>
  </cols>
  <sheetData>
    <row r="1" ht="15.75">
      <c r="A1" s="46" t="s">
        <v>63</v>
      </c>
    </row>
    <row r="2" ht="15.75">
      <c r="A2" s="46"/>
    </row>
    <row r="3" ht="15.75">
      <c r="A3" s="46"/>
    </row>
    <row r="4" ht="19.5">
      <c r="A4" s="22" t="s">
        <v>65</v>
      </c>
    </row>
    <row r="5" spans="1:7" ht="18">
      <c r="A5" s="30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12</v>
      </c>
    </row>
    <row r="6" spans="1:8" ht="18">
      <c r="A6" s="72" t="s">
        <v>13</v>
      </c>
      <c r="B6" s="73">
        <v>78000</v>
      </c>
      <c r="C6" s="70"/>
      <c r="D6" s="70"/>
      <c r="E6" s="70"/>
      <c r="F6" s="70"/>
      <c r="G6" s="70"/>
      <c r="H6" s="1"/>
    </row>
    <row r="7" spans="1:8" ht="18">
      <c r="A7" s="72" t="s">
        <v>14</v>
      </c>
      <c r="B7" s="73">
        <v>24600</v>
      </c>
      <c r="C7" s="70"/>
      <c r="D7" s="70"/>
      <c r="E7" s="70"/>
      <c r="F7" s="70"/>
      <c r="G7" s="70"/>
      <c r="H7" s="1">
        <v>2</v>
      </c>
    </row>
    <row r="8" spans="1:8" ht="18">
      <c r="A8" s="33" t="s">
        <v>15</v>
      </c>
      <c r="B8" s="71">
        <f>Musterlösung!B21</f>
        <v>10200</v>
      </c>
      <c r="C8" s="23"/>
      <c r="D8" s="23"/>
      <c r="E8" s="23"/>
      <c r="F8" s="23"/>
      <c r="G8" s="23"/>
      <c r="H8" s="1">
        <v>2.5</v>
      </c>
    </row>
    <row r="9" spans="1:8" ht="18">
      <c r="A9" s="33" t="s">
        <v>27</v>
      </c>
      <c r="B9" s="71">
        <f>Musterlösung!B23</f>
        <v>130000</v>
      </c>
      <c r="C9" s="23">
        <v>12000</v>
      </c>
      <c r="D9" s="23">
        <v>36000</v>
      </c>
      <c r="E9" s="23">
        <v>17000</v>
      </c>
      <c r="F9" s="23">
        <v>24000</v>
      </c>
      <c r="G9" s="23">
        <v>36000</v>
      </c>
      <c r="H9" s="1"/>
    </row>
    <row r="10" spans="1:8" ht="18">
      <c r="A10" s="33" t="s">
        <v>28</v>
      </c>
      <c r="B10" s="71">
        <f>Musterlösung!B24</f>
        <v>51400</v>
      </c>
      <c r="C10" s="23">
        <f>B10*0.18</f>
        <v>9252</v>
      </c>
      <c r="D10" s="23">
        <f>B10*0.15</f>
        <v>7710</v>
      </c>
      <c r="E10" s="23">
        <f>B10*0.12</f>
        <v>6168</v>
      </c>
      <c r="F10" s="23">
        <f>B10*0.19</f>
        <v>9766</v>
      </c>
      <c r="G10" s="23">
        <f>B10*0.36</f>
        <v>18504</v>
      </c>
      <c r="H10" s="1"/>
    </row>
    <row r="11" spans="1:8" ht="18">
      <c r="A11" s="33" t="s">
        <v>29</v>
      </c>
      <c r="B11" s="71">
        <f>Musterlösung!B25</f>
        <v>106700</v>
      </c>
      <c r="C11" s="67">
        <f>111344-106700</f>
        <v>4644</v>
      </c>
      <c r="D11" s="67">
        <v>12780</v>
      </c>
      <c r="E11" s="68">
        <v>13230</v>
      </c>
      <c r="F11" s="68">
        <v>22696</v>
      </c>
      <c r="G11" s="69">
        <f>B11/2</f>
        <v>53350</v>
      </c>
      <c r="H11" s="1">
        <f>SUM(C11:G11)</f>
        <v>106700</v>
      </c>
    </row>
    <row r="12" spans="1:8" ht="18">
      <c r="A12" s="31" t="s">
        <v>25</v>
      </c>
      <c r="B12" s="23">
        <f>SUM(B8:B11)</f>
        <v>298300</v>
      </c>
      <c r="C12" s="23"/>
      <c r="D12" s="24"/>
      <c r="E12" s="24"/>
      <c r="F12" s="24"/>
      <c r="G12" s="24"/>
      <c r="H12" s="1">
        <v>2.5</v>
      </c>
    </row>
    <row r="13" spans="1:8" ht="18">
      <c r="A13" s="31" t="s">
        <v>5</v>
      </c>
      <c r="B13" s="23"/>
      <c r="C13" s="23"/>
      <c r="D13" s="24"/>
      <c r="E13" s="24"/>
      <c r="F13" s="24"/>
      <c r="G13" s="24"/>
      <c r="H13" s="1">
        <v>2</v>
      </c>
    </row>
    <row r="14" spans="1:8" ht="18">
      <c r="A14" s="31" t="s">
        <v>30</v>
      </c>
      <c r="B14" s="23"/>
      <c r="C14" s="23"/>
      <c r="D14" s="24"/>
      <c r="E14" s="24"/>
      <c r="F14" s="24"/>
      <c r="G14" s="24"/>
      <c r="H14" s="1">
        <v>1</v>
      </c>
    </row>
    <row r="15" spans="1:8" ht="18">
      <c r="A15" s="31" t="s">
        <v>6</v>
      </c>
      <c r="B15" s="25"/>
      <c r="C15" s="25"/>
      <c r="D15" s="26"/>
      <c r="E15" s="26"/>
      <c r="F15" s="26"/>
      <c r="G15" s="25"/>
      <c r="H15" s="4">
        <v>1.5</v>
      </c>
    </row>
    <row r="16" spans="1:8" ht="18">
      <c r="A16" s="31" t="s">
        <v>26</v>
      </c>
      <c r="B16" s="27"/>
      <c r="C16" s="27"/>
      <c r="D16" s="28"/>
      <c r="E16" s="28"/>
      <c r="F16" s="28"/>
      <c r="G16" s="29"/>
      <c r="H16" s="2">
        <v>2</v>
      </c>
    </row>
    <row r="17" ht="12.75">
      <c r="H17" s="2"/>
    </row>
    <row r="18" ht="12.75">
      <c r="H18" s="2"/>
    </row>
    <row r="19" ht="12.75">
      <c r="H19" s="2"/>
    </row>
    <row r="20" ht="12.75">
      <c r="H20" s="2"/>
    </row>
    <row r="21" spans="1:8" ht="15.75">
      <c r="A21" s="41" t="s">
        <v>66</v>
      </c>
      <c r="B21" s="30"/>
      <c r="D21" s="46" t="s">
        <v>49</v>
      </c>
      <c r="E21" s="30"/>
      <c r="H21" s="2">
        <v>2</v>
      </c>
    </row>
    <row r="22" spans="1:8" ht="15.75">
      <c r="A22" s="41"/>
      <c r="B22" s="10"/>
      <c r="D22" s="46"/>
      <c r="E22" s="10"/>
      <c r="H22" s="2"/>
    </row>
    <row r="23" spans="1:8" ht="15.75">
      <c r="A23" s="41"/>
      <c r="B23" s="10"/>
      <c r="D23" s="46"/>
      <c r="E23" s="10"/>
      <c r="G23" t="s">
        <v>76</v>
      </c>
      <c r="H23" s="2">
        <v>4</v>
      </c>
    </row>
    <row r="24" spans="1:8" ht="15.75">
      <c r="A24" s="41" t="s">
        <v>67</v>
      </c>
      <c r="B24" s="10"/>
      <c r="D24" s="46"/>
      <c r="E24" s="10"/>
      <c r="H24" s="2"/>
    </row>
    <row r="25" spans="1:8" ht="15.75">
      <c r="A25" s="41"/>
      <c r="B25" s="10"/>
      <c r="D25" s="46"/>
      <c r="E25" s="10"/>
      <c r="H25" s="2"/>
    </row>
    <row r="26" spans="1:8" ht="15.75">
      <c r="A26" s="41"/>
      <c r="B26" s="10"/>
      <c r="D26" s="46"/>
      <c r="E26" s="10"/>
      <c r="H26" s="2"/>
    </row>
    <row r="27" ht="12.75">
      <c r="H27" s="2">
        <v>22</v>
      </c>
    </row>
    <row r="29" spans="1:6" ht="15.75">
      <c r="A29" s="41" t="s">
        <v>40</v>
      </c>
      <c r="B29" s="35" t="s">
        <v>21</v>
      </c>
      <c r="C29" s="38" t="s">
        <v>22</v>
      </c>
      <c r="D29" s="39"/>
      <c r="E29" s="38" t="s">
        <v>12</v>
      </c>
      <c r="F29" s="40"/>
    </row>
    <row r="30" spans="2:6" ht="12.75">
      <c r="B30" s="36"/>
      <c r="C30" s="16"/>
      <c r="D30" s="17"/>
      <c r="E30" s="16"/>
      <c r="F30" s="17"/>
    </row>
    <row r="31" spans="2:6" ht="12.75">
      <c r="B31" s="36"/>
      <c r="C31" s="16"/>
      <c r="D31" s="17"/>
      <c r="E31" s="16"/>
      <c r="F31" s="17"/>
    </row>
    <row r="32" spans="2:8" ht="12.75">
      <c r="B32" s="36"/>
      <c r="C32" s="16"/>
      <c r="D32" s="17"/>
      <c r="E32" s="16"/>
      <c r="F32" s="17"/>
      <c r="H32">
        <v>5</v>
      </c>
    </row>
    <row r="33" spans="2:6" ht="12.75">
      <c r="B33" s="36"/>
      <c r="C33" s="16"/>
      <c r="D33" s="17"/>
      <c r="E33" s="16"/>
      <c r="F33" s="17"/>
    </row>
    <row r="34" spans="2:6" ht="12.75">
      <c r="B34" s="36"/>
      <c r="C34" s="16"/>
      <c r="D34" s="17"/>
      <c r="E34" s="16"/>
      <c r="F34" s="17"/>
    </row>
    <row r="35" spans="2:6" ht="12.75">
      <c r="B35" s="36"/>
      <c r="C35" s="16"/>
      <c r="D35" s="17"/>
      <c r="E35" s="16"/>
      <c r="F35" s="17"/>
    </row>
    <row r="36" spans="2:6" ht="12.75">
      <c r="B36" s="36"/>
      <c r="C36" s="16"/>
      <c r="D36" s="17"/>
      <c r="E36" s="16"/>
      <c r="F36" s="17"/>
    </row>
    <row r="37" spans="2:6" ht="12.75">
      <c r="B37" s="37"/>
      <c r="C37" s="18"/>
      <c r="D37" s="20"/>
      <c r="E37" s="18"/>
      <c r="F37" s="20"/>
    </row>
    <row r="39" spans="1:5" ht="12.75">
      <c r="A39" s="32" t="s">
        <v>41</v>
      </c>
      <c r="B39" s="146" t="s">
        <v>2</v>
      </c>
      <c r="C39" s="147"/>
      <c r="D39" s="146" t="s">
        <v>3</v>
      </c>
      <c r="E39" s="147"/>
    </row>
    <row r="40" spans="2:5" ht="12.75">
      <c r="B40" s="16"/>
      <c r="C40" s="17"/>
      <c r="D40" s="16"/>
      <c r="E40" s="17"/>
    </row>
    <row r="41" spans="2:8" ht="12.75">
      <c r="B41" s="16"/>
      <c r="C41" s="17"/>
      <c r="D41" s="16"/>
      <c r="E41" s="17"/>
      <c r="H41">
        <v>2</v>
      </c>
    </row>
    <row r="42" spans="2:5" ht="12.75">
      <c r="B42" s="16"/>
      <c r="C42" s="17"/>
      <c r="D42" s="16"/>
      <c r="E42" s="17"/>
    </row>
    <row r="43" spans="2:5" ht="12.75">
      <c r="B43" s="16"/>
      <c r="C43" s="17"/>
      <c r="D43" s="16"/>
      <c r="E43" s="17"/>
    </row>
    <row r="44" spans="1:5" ht="12.75">
      <c r="A44" s="32" t="s">
        <v>31</v>
      </c>
      <c r="B44" s="16"/>
      <c r="C44" s="17"/>
      <c r="D44" s="16"/>
      <c r="E44" s="17"/>
    </row>
    <row r="45" spans="2:5" ht="12.75">
      <c r="B45" s="16"/>
      <c r="C45" s="17"/>
      <c r="D45" s="16"/>
      <c r="E45" s="17"/>
    </row>
    <row r="46" spans="2:8" ht="12.75">
      <c r="B46" s="16"/>
      <c r="C46" s="17"/>
      <c r="D46" s="16"/>
      <c r="E46" s="17"/>
      <c r="H46">
        <v>2</v>
      </c>
    </row>
    <row r="47" spans="2:5" ht="12.75">
      <c r="B47" s="16"/>
      <c r="C47" s="17"/>
      <c r="D47" s="16"/>
      <c r="E47" s="17"/>
    </row>
    <row r="48" spans="2:5" ht="12.75">
      <c r="B48" s="16"/>
      <c r="C48" s="17"/>
      <c r="D48" s="16"/>
      <c r="E48" s="17"/>
    </row>
    <row r="49" spans="2:5" ht="12.75">
      <c r="B49" s="16"/>
      <c r="C49" s="17"/>
      <c r="D49" s="16"/>
      <c r="E49" s="17"/>
    </row>
    <row r="50" spans="2:5" ht="12.75">
      <c r="B50" s="16"/>
      <c r="C50" s="17"/>
      <c r="D50" s="16"/>
      <c r="E50" s="17"/>
    </row>
    <row r="51" spans="2:5" ht="12.75">
      <c r="B51" s="16"/>
      <c r="C51" s="17"/>
      <c r="D51" s="16"/>
      <c r="E51" s="17"/>
    </row>
    <row r="52" spans="2:9" ht="12.75">
      <c r="B52" s="16"/>
      <c r="C52" s="17"/>
      <c r="D52" s="16"/>
      <c r="E52" s="17"/>
      <c r="I52">
        <v>31</v>
      </c>
    </row>
    <row r="53" spans="2:5" ht="12.75">
      <c r="B53" s="18"/>
      <c r="C53" s="20"/>
      <c r="D53" s="18"/>
      <c r="E53" s="20"/>
    </row>
    <row r="56" spans="1:4" ht="12.75">
      <c r="A56" s="32" t="s">
        <v>47</v>
      </c>
      <c r="B56" s="43"/>
      <c r="C56" s="42"/>
      <c r="D56" s="40"/>
    </row>
    <row r="57" spans="2:4" ht="12.75">
      <c r="B57" s="16" t="s">
        <v>50</v>
      </c>
      <c r="C57" s="10">
        <v>21.3</v>
      </c>
      <c r="D57" s="53">
        <f>C57*1.7</f>
        <v>36.21</v>
      </c>
    </row>
    <row r="58" spans="2:4" ht="12.75">
      <c r="B58" s="16" t="s">
        <v>51</v>
      </c>
      <c r="C58" s="10">
        <v>0.92</v>
      </c>
      <c r="D58" s="53">
        <f>C58*2.2</f>
        <v>2.0240000000000005</v>
      </c>
    </row>
    <row r="59" spans="2:4" ht="12.75">
      <c r="B59" s="16" t="s">
        <v>52</v>
      </c>
      <c r="C59" s="10">
        <v>1.25</v>
      </c>
      <c r="D59" s="53">
        <f>C59*0.3</f>
        <v>0.375</v>
      </c>
    </row>
    <row r="60" spans="2:5" ht="12.75">
      <c r="B60" s="16" t="s">
        <v>53</v>
      </c>
      <c r="C60" s="54">
        <v>7.8</v>
      </c>
      <c r="D60" s="53">
        <f>C60*E60</f>
        <v>3.12</v>
      </c>
      <c r="E60">
        <v>0.4</v>
      </c>
    </row>
    <row r="61" spans="2:5" ht="12.75">
      <c r="B61" s="16" t="s">
        <v>54</v>
      </c>
      <c r="C61" s="54">
        <v>1.24</v>
      </c>
      <c r="D61" s="53">
        <f>C61*E61</f>
        <v>0.124</v>
      </c>
      <c r="E61">
        <v>0.1</v>
      </c>
    </row>
    <row r="62" spans="2:5" ht="12.75">
      <c r="B62" s="16" t="s">
        <v>55</v>
      </c>
      <c r="C62" s="54">
        <v>3.2</v>
      </c>
      <c r="D62" s="53">
        <f>C62*E62</f>
        <v>0.48</v>
      </c>
      <c r="E62">
        <v>0.15</v>
      </c>
    </row>
    <row r="63" spans="2:5" ht="12.75">
      <c r="B63" s="55" t="s">
        <v>56</v>
      </c>
      <c r="C63" s="54">
        <v>1.8</v>
      </c>
      <c r="D63" s="53">
        <f>C63*E63</f>
        <v>0.45</v>
      </c>
      <c r="E63">
        <v>0.25</v>
      </c>
    </row>
    <row r="64" spans="2:4" ht="12.75">
      <c r="B64" s="16" t="s">
        <v>57</v>
      </c>
      <c r="C64" s="54">
        <v>1.9</v>
      </c>
      <c r="D64" s="53">
        <v>1.9</v>
      </c>
    </row>
    <row r="65" spans="2:4" ht="12.75">
      <c r="B65" s="16" t="s">
        <v>58</v>
      </c>
      <c r="C65" s="10"/>
      <c r="D65" s="53">
        <v>0.3</v>
      </c>
    </row>
    <row r="66" spans="2:4" ht="12.75">
      <c r="B66" s="16"/>
      <c r="C66" s="10"/>
      <c r="D66" s="53">
        <f>SUM(D57:D65)</f>
        <v>44.983</v>
      </c>
    </row>
    <row r="67" spans="2:8" ht="12.75">
      <c r="B67" s="16"/>
      <c r="C67" s="10"/>
      <c r="D67" s="53">
        <f>D66/10</f>
        <v>4.4982999999999995</v>
      </c>
      <c r="H67">
        <v>5</v>
      </c>
    </row>
    <row r="68" spans="2:4" ht="12.75">
      <c r="B68" s="16"/>
      <c r="C68" s="10"/>
      <c r="D68" s="53"/>
    </row>
    <row r="69" spans="2:4" ht="12.75">
      <c r="B69" s="18"/>
      <c r="C69" s="19"/>
      <c r="D69" s="14"/>
    </row>
    <row r="75" ht="12.75">
      <c r="A75" s="32" t="s">
        <v>42</v>
      </c>
    </row>
    <row r="76" spans="2:5" ht="12.75">
      <c r="B76" s="51" t="s">
        <v>48</v>
      </c>
      <c r="E76" s="51" t="s">
        <v>44</v>
      </c>
    </row>
    <row r="77" spans="1:7" ht="12.75">
      <c r="A77" s="44"/>
      <c r="B77" s="43"/>
      <c r="C77" s="42"/>
      <c r="D77" s="45"/>
      <c r="E77" s="43"/>
      <c r="F77" s="42"/>
      <c r="G77" s="13"/>
    </row>
    <row r="78" spans="2:7" ht="12.75">
      <c r="B78" s="16" t="s">
        <v>10</v>
      </c>
      <c r="C78" s="56"/>
      <c r="D78" s="53">
        <v>4.5</v>
      </c>
      <c r="E78" s="16"/>
      <c r="F78" s="10"/>
      <c r="G78" s="53">
        <f>G80-G79</f>
        <v>2.9198742434036546</v>
      </c>
    </row>
    <row r="79" spans="2:7" ht="12.75">
      <c r="B79" s="16" t="s">
        <v>59</v>
      </c>
      <c r="C79" s="21">
        <v>2.2</v>
      </c>
      <c r="D79" s="53">
        <f>D78*C79</f>
        <v>9.9</v>
      </c>
      <c r="E79" s="16"/>
      <c r="F79" s="10"/>
      <c r="G79" s="53">
        <f>G80*220/320</f>
        <v>6.423723335488042</v>
      </c>
    </row>
    <row r="80" spans="2:7" ht="12.75">
      <c r="B80" s="16"/>
      <c r="C80" s="10"/>
      <c r="D80" s="53">
        <f>SUM(D78:D79)</f>
        <v>14.4</v>
      </c>
      <c r="E80" s="16"/>
      <c r="F80" s="10"/>
      <c r="G80" s="53">
        <f>G82-G81</f>
        <v>9.343597578891696</v>
      </c>
    </row>
    <row r="81" spans="2:7" ht="12.75">
      <c r="B81" s="16" t="s">
        <v>18</v>
      </c>
      <c r="C81" s="21">
        <v>0.4</v>
      </c>
      <c r="D81" s="53">
        <f>D80*C81</f>
        <v>5.760000000000001</v>
      </c>
      <c r="E81" s="16"/>
      <c r="F81" s="10"/>
      <c r="G81" s="53">
        <f>G82*40/140</f>
        <v>3.737439031556679</v>
      </c>
    </row>
    <row r="82" spans="2:7" ht="12.75">
      <c r="B82" s="16"/>
      <c r="C82" s="10"/>
      <c r="D82" s="53">
        <f>SUM(D80:D81)</f>
        <v>20.16</v>
      </c>
      <c r="E82" s="16"/>
      <c r="F82" s="10"/>
      <c r="G82" s="53">
        <f>G84-G83</f>
        <v>13.081036610448376</v>
      </c>
    </row>
    <row r="83" spans="2:7" ht="12.75">
      <c r="B83" s="16" t="s">
        <v>60</v>
      </c>
      <c r="C83" s="57">
        <v>0.105</v>
      </c>
      <c r="D83" s="53">
        <f>D82*C83</f>
        <v>2.1168</v>
      </c>
      <c r="E83" s="16"/>
      <c r="F83" s="10"/>
      <c r="G83" s="53">
        <f>G84*10.5/110.5</f>
        <v>1.3735088440970795</v>
      </c>
    </row>
    <row r="84" spans="2:7" ht="12.75">
      <c r="B84" s="16"/>
      <c r="C84" s="10"/>
      <c r="D84" s="53">
        <f>SUM(D82:D83)</f>
        <v>22.2768</v>
      </c>
      <c r="E84" s="16"/>
      <c r="F84" s="10"/>
      <c r="G84" s="53">
        <f>G86-G85</f>
        <v>14.454545454545455</v>
      </c>
    </row>
    <row r="85" spans="2:7" ht="12.75">
      <c r="B85" s="18" t="s">
        <v>61</v>
      </c>
      <c r="C85" s="58">
        <v>0.1</v>
      </c>
      <c r="D85" s="14">
        <f>D84*0.1</f>
        <v>2.2276800000000003</v>
      </c>
      <c r="E85" s="16"/>
      <c r="F85" s="10"/>
      <c r="G85" s="53">
        <f>G86/11</f>
        <v>1.4454545454545455</v>
      </c>
    </row>
    <row r="86" spans="2:7" ht="15.75">
      <c r="B86" s="16"/>
      <c r="C86" s="10"/>
      <c r="D86" s="59">
        <f>SUM(D84:D85)</f>
        <v>24.50448</v>
      </c>
      <c r="E86" s="16"/>
      <c r="F86" s="10"/>
      <c r="G86" s="53">
        <v>15.9</v>
      </c>
    </row>
    <row r="87" spans="2:7" ht="12.75">
      <c r="B87" s="16"/>
      <c r="C87" s="10"/>
      <c r="D87" s="17"/>
      <c r="E87" s="16"/>
      <c r="F87" s="10"/>
      <c r="G87" s="17"/>
    </row>
    <row r="88" spans="2:7" ht="12.75">
      <c r="B88" s="16"/>
      <c r="C88" s="10"/>
      <c r="D88" s="17"/>
      <c r="E88" s="16"/>
      <c r="F88" s="10"/>
      <c r="G88" s="17"/>
    </row>
    <row r="89" spans="2:7" ht="12.75">
      <c r="B89" s="16"/>
      <c r="C89" s="10"/>
      <c r="D89" s="17"/>
      <c r="E89" s="16"/>
      <c r="F89" s="10"/>
      <c r="G89" s="17"/>
    </row>
    <row r="90" spans="2:7" ht="12.75">
      <c r="B90" s="16"/>
      <c r="C90" s="10"/>
      <c r="D90" s="17"/>
      <c r="E90" s="16"/>
      <c r="F90" s="10"/>
      <c r="G90" s="17"/>
    </row>
    <row r="91" spans="2:7" ht="12.75">
      <c r="B91" s="16"/>
      <c r="C91" s="10"/>
      <c r="D91" s="17"/>
      <c r="E91" s="16"/>
      <c r="F91" s="10"/>
      <c r="G91" s="17"/>
    </row>
    <row r="92" spans="2:7" ht="12.75">
      <c r="B92" s="18"/>
      <c r="C92" s="19"/>
      <c r="D92" s="20"/>
      <c r="E92" s="18"/>
      <c r="F92" s="19"/>
      <c r="G92" s="20"/>
    </row>
    <row r="93" spans="2:6" ht="12.75">
      <c r="B93" s="10"/>
      <c r="C93" s="10"/>
      <c r="E93" s="10"/>
      <c r="F93" s="10"/>
    </row>
    <row r="95" spans="1:4" ht="12.75">
      <c r="A95" s="52" t="s">
        <v>43</v>
      </c>
      <c r="B95" s="43"/>
      <c r="C95" s="42"/>
      <c r="D95" s="40"/>
    </row>
    <row r="96" spans="2:4" ht="12.75">
      <c r="B96" s="16"/>
      <c r="C96" s="10"/>
      <c r="D96" s="17"/>
    </row>
    <row r="97" spans="2:8" ht="12.75">
      <c r="B97" s="16"/>
      <c r="C97" s="10"/>
      <c r="D97" s="17"/>
      <c r="H97">
        <v>12</v>
      </c>
    </row>
    <row r="98" spans="2:4" ht="12.75">
      <c r="B98" s="16"/>
      <c r="C98" s="10"/>
      <c r="D98" s="17"/>
    </row>
    <row r="99" spans="2:4" ht="12.75">
      <c r="B99" s="16"/>
      <c r="C99" s="10"/>
      <c r="D99" s="17"/>
    </row>
    <row r="100" spans="2:4" ht="12.75">
      <c r="B100" s="16"/>
      <c r="C100" s="10"/>
      <c r="D100" s="17"/>
    </row>
    <row r="101" spans="2:4" ht="12.75">
      <c r="B101" s="16"/>
      <c r="C101" s="10"/>
      <c r="D101" s="17"/>
    </row>
    <row r="102" spans="2:4" ht="12.75">
      <c r="B102" s="16"/>
      <c r="C102" s="10"/>
      <c r="D102" s="17"/>
    </row>
    <row r="103" spans="2:4" ht="12.75">
      <c r="B103" s="16"/>
      <c r="C103" s="10"/>
      <c r="D103" s="17"/>
    </row>
    <row r="104" spans="2:4" ht="12.75">
      <c r="B104" s="16"/>
      <c r="C104" s="10"/>
      <c r="D104" s="17"/>
    </row>
    <row r="105" spans="2:4" ht="12.75">
      <c r="B105" s="16"/>
      <c r="C105" s="10"/>
      <c r="D105" s="17"/>
    </row>
    <row r="106" spans="2:4" ht="12.75">
      <c r="B106" s="16"/>
      <c r="C106" s="10"/>
      <c r="D106" s="17"/>
    </row>
    <row r="107" spans="2:4" ht="12.75">
      <c r="B107" s="16"/>
      <c r="C107" s="10"/>
      <c r="D107" s="17"/>
    </row>
    <row r="108" spans="2:4" ht="12.75">
      <c r="B108" s="16"/>
      <c r="C108" s="10"/>
      <c r="D108" s="17"/>
    </row>
    <row r="109" spans="2:4" ht="12.75">
      <c r="B109" s="18"/>
      <c r="C109" s="19"/>
      <c r="D109" s="20"/>
    </row>
    <row r="110" ht="15.75">
      <c r="A110" s="46" t="s">
        <v>45</v>
      </c>
    </row>
    <row r="112" spans="2:7" ht="15.75">
      <c r="B112" s="47" t="s">
        <v>32</v>
      </c>
      <c r="C112" s="48"/>
      <c r="D112" s="47" t="s">
        <v>33</v>
      </c>
      <c r="E112" s="42"/>
      <c r="F112" s="40"/>
      <c r="G112">
        <v>6</v>
      </c>
    </row>
    <row r="113" spans="2:6" ht="15.75">
      <c r="B113" s="49"/>
      <c r="C113" s="50"/>
      <c r="D113" s="49"/>
      <c r="E113" s="10"/>
      <c r="F113" s="17"/>
    </row>
    <row r="114" spans="3:6" ht="12.75">
      <c r="C114" t="s">
        <v>32</v>
      </c>
      <c r="D114" t="s">
        <v>33</v>
      </c>
      <c r="E114" s="10"/>
      <c r="F114" s="17"/>
    </row>
    <row r="115" spans="2:6" ht="12.75">
      <c r="B115" t="s">
        <v>34</v>
      </c>
      <c r="C115">
        <v>123</v>
      </c>
      <c r="D115">
        <v>99</v>
      </c>
      <c r="E115" s="10"/>
      <c r="F115" s="17"/>
    </row>
    <row r="116" spans="2:6" ht="12.75">
      <c r="B116" t="s">
        <v>35</v>
      </c>
      <c r="C116" s="8">
        <f>C115*5%</f>
        <v>6.15</v>
      </c>
      <c r="D116" s="8">
        <f>D115*3%</f>
        <v>2.9699999999999998</v>
      </c>
      <c r="E116" s="10"/>
      <c r="F116" s="17"/>
    </row>
    <row r="117" spans="3:6" ht="12.75">
      <c r="C117" s="8">
        <f>C115-C116</f>
        <v>116.85</v>
      </c>
      <c r="D117" s="8">
        <f>D115-D116</f>
        <v>96.03</v>
      </c>
      <c r="E117" s="10"/>
      <c r="F117" s="17"/>
    </row>
    <row r="118" spans="2:6" ht="12.75">
      <c r="B118" t="s">
        <v>36</v>
      </c>
      <c r="C118">
        <v>0</v>
      </c>
      <c r="D118">
        <v>6.5</v>
      </c>
      <c r="E118" s="10"/>
      <c r="F118" s="17"/>
    </row>
    <row r="119" spans="3:6" ht="12.75">
      <c r="C119" s="8">
        <f>C117+C118</f>
        <v>116.85</v>
      </c>
      <c r="D119" s="8">
        <f>D117+D118</f>
        <v>102.53</v>
      </c>
      <c r="E119" s="10"/>
      <c r="F119" s="17"/>
    </row>
    <row r="120" spans="2:6" ht="12.75">
      <c r="B120" t="s">
        <v>37</v>
      </c>
      <c r="C120" s="8">
        <f>C119*1%</f>
        <v>1.1684999999999999</v>
      </c>
      <c r="D120" s="8">
        <f>D119*2%</f>
        <v>2.0506</v>
      </c>
      <c r="E120" s="10"/>
      <c r="F120" s="17"/>
    </row>
    <row r="121" spans="3:6" ht="12.75">
      <c r="C121" s="8">
        <f>C119-C120</f>
        <v>115.6815</v>
      </c>
      <c r="D121" s="8">
        <f>D119-D120</f>
        <v>100.4794</v>
      </c>
      <c r="E121" s="10"/>
      <c r="F121" s="17"/>
    </row>
    <row r="122" spans="2:6" ht="12.75">
      <c r="B122" t="s">
        <v>38</v>
      </c>
      <c r="D122">
        <f>D115*1%</f>
        <v>0.99</v>
      </c>
      <c r="E122" s="10"/>
      <c r="F122" s="17"/>
    </row>
    <row r="123" spans="3:6" ht="12.75">
      <c r="C123" s="8">
        <f>C121</f>
        <v>115.6815</v>
      </c>
      <c r="D123" s="8">
        <f>D121+D122</f>
        <v>101.4694</v>
      </c>
      <c r="E123" s="10"/>
      <c r="F123" s="17"/>
    </row>
    <row r="124" spans="3:6" ht="12.75">
      <c r="C124">
        <f>C123/100</f>
        <v>1.156815</v>
      </c>
      <c r="E124" s="10"/>
      <c r="F124" s="17"/>
    </row>
    <row r="125" spans="3:6" ht="12.75">
      <c r="C125" t="s">
        <v>39</v>
      </c>
      <c r="E125" s="10"/>
      <c r="F125" s="17"/>
    </row>
    <row r="126" spans="2:6" ht="12.75">
      <c r="B126" s="18"/>
      <c r="C126" s="20"/>
      <c r="D126" s="18"/>
      <c r="E126" s="19"/>
      <c r="F126" s="20"/>
    </row>
    <row r="127" ht="12.75">
      <c r="H127" s="51" t="s">
        <v>62</v>
      </c>
    </row>
    <row r="146" ht="15.75">
      <c r="A146" s="46"/>
    </row>
  </sheetData>
  <sheetProtection/>
  <mergeCells count="2">
    <mergeCell ref="B39:C39"/>
    <mergeCell ref="D39:E39"/>
  </mergeCells>
  <printOptions/>
  <pageMargins left="0.787401575" right="0.49" top="0.984251969" bottom="0.984251969" header="0.4921259845" footer="0.4921259845"/>
  <pageSetup horizontalDpi="300" verticalDpi="300" orientation="landscape" paperSize="9"/>
  <headerFooter alignWithMargins="0">
    <oddHeader>&amp;L3FGA&amp;CLösungsteil RW Schularbeit
&amp;R21.12.2017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Bogensperger</dc:creator>
  <cp:keywords/>
  <dc:description/>
  <cp:lastModifiedBy>Microsoft Office User</cp:lastModifiedBy>
  <cp:lastPrinted>2017-12-25T22:39:52Z</cp:lastPrinted>
  <dcterms:created xsi:type="dcterms:W3CDTF">2006-12-28T12:12:53Z</dcterms:created>
  <dcterms:modified xsi:type="dcterms:W3CDTF">2023-01-13T11:21:23Z</dcterms:modified>
  <cp:category/>
  <cp:version/>
  <cp:contentType/>
  <cp:contentStatus/>
</cp:coreProperties>
</file>