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werner/Google Drive/aktuelle Klassen/5HLW HLT WS 9 SS10/RWCO/Übungen RW Schularbeit/"/>
    </mc:Choice>
  </mc:AlternateContent>
  <xr:revisionPtr revIDLastSave="0" documentId="13_ncr:1_{A2E58FC2-8631-9746-B9B8-2B6F492D2480}" xr6:coauthVersionLast="46" xr6:coauthVersionMax="46" xr10:uidLastSave="{00000000-0000-0000-0000-000000000000}"/>
  <bookViews>
    <workbookView xWindow="1220" yWindow="460" windowWidth="23280" windowHeight="15200" tabRatio="500" activeTab="2" xr2:uid="{00000000-000D-0000-FFFF-FFFF00000000}"/>
  </bookViews>
  <sheets>
    <sheet name="Bilanz Air Berlin" sheetId="1" r:id="rId1"/>
    <sheet name="GuV Air Berlin" sheetId="2" r:id="rId2"/>
    <sheet name="Analyse Air Berlin" sheetId="3" r:id="rId3"/>
  </sheets>
  <definedNames>
    <definedName name="_xlnm.Print_Area" localSheetId="2">'Analyse Air Berlin'!$A$1:$F$75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7" i="2" l="1"/>
  <c r="H8" i="2"/>
  <c r="H4" i="2"/>
  <c r="L23" i="1"/>
  <c r="L21" i="1"/>
  <c r="J17" i="1"/>
  <c r="J18" i="1" s="1"/>
  <c r="J23" i="1"/>
  <c r="B67" i="3" s="1"/>
  <c r="J22" i="1"/>
  <c r="B66" i="3" s="1"/>
  <c r="J21" i="1"/>
  <c r="L15" i="1"/>
  <c r="L18" i="1" s="1"/>
  <c r="L17" i="1"/>
  <c r="L16" i="1"/>
  <c r="J16" i="1"/>
  <c r="L8" i="1"/>
  <c r="L11" i="1" s="1"/>
  <c r="L13" i="1" s="1"/>
  <c r="J8" i="1"/>
  <c r="B52" i="3" s="1"/>
  <c r="B25" i="2"/>
  <c r="C25" i="2" s="1"/>
  <c r="G134" i="3"/>
  <c r="H45" i="3"/>
  <c r="J11" i="1"/>
  <c r="J13" i="1" s="1"/>
  <c r="C5" i="3"/>
  <c r="B8" i="2"/>
  <c r="B12" i="2"/>
  <c r="G12" i="2" s="1"/>
  <c r="B18" i="2"/>
  <c r="D25" i="2"/>
  <c r="L3" i="1"/>
  <c r="A64" i="3"/>
  <c r="A65" i="3"/>
  <c r="A66" i="3"/>
  <c r="A67" i="3"/>
  <c r="A63" i="3"/>
  <c r="A51" i="3"/>
  <c r="A52" i="3"/>
  <c r="A53" i="3"/>
  <c r="A54" i="3"/>
  <c r="A55" i="3"/>
  <c r="A56" i="3"/>
  <c r="A50" i="3"/>
  <c r="A59" i="3"/>
  <c r="A60" i="3"/>
  <c r="A61" i="3"/>
  <c r="A58" i="3"/>
  <c r="B64" i="3"/>
  <c r="B68" i="3" s="1"/>
  <c r="B65" i="3"/>
  <c r="B63" i="3"/>
  <c r="B59" i="3"/>
  <c r="B60" i="3"/>
  <c r="B58" i="3"/>
  <c r="B51" i="3"/>
  <c r="B53" i="3"/>
  <c r="B54" i="3"/>
  <c r="B56" i="3"/>
  <c r="B50" i="3"/>
  <c r="L24" i="1"/>
  <c r="F12" i="1"/>
  <c r="F22" i="1"/>
  <c r="D35" i="3" s="1"/>
  <c r="D12" i="1"/>
  <c r="D22" i="1"/>
  <c r="D25" i="1"/>
  <c r="B9" i="3" s="1"/>
  <c r="E17" i="1"/>
  <c r="D8" i="2"/>
  <c r="G8" i="2" s="1"/>
  <c r="D12" i="2"/>
  <c r="D18" i="2"/>
  <c r="D27" i="2" s="1"/>
  <c r="G14" i="2"/>
  <c r="G10" i="2"/>
  <c r="G22" i="2"/>
  <c r="G16" i="2"/>
  <c r="G21" i="2"/>
  <c r="D40" i="3"/>
  <c r="C32" i="3"/>
  <c r="C3" i="3"/>
  <c r="G4" i="2"/>
  <c r="C2" i="3" s="1"/>
  <c r="J3" i="1"/>
  <c r="C30" i="3"/>
  <c r="G15" i="2"/>
  <c r="E12" i="1"/>
  <c r="E25" i="2"/>
  <c r="E15" i="2"/>
  <c r="E14" i="2"/>
  <c r="E12" i="2"/>
  <c r="E10" i="2"/>
  <c r="E8" i="2"/>
  <c r="C18" i="2"/>
  <c r="C16" i="2"/>
  <c r="C15" i="2"/>
  <c r="C14" i="2"/>
  <c r="C12" i="2"/>
  <c r="C10" i="2"/>
  <c r="C8" i="2"/>
  <c r="E22" i="1"/>
  <c r="E25" i="1"/>
  <c r="C44" i="3" l="1"/>
  <c r="C6" i="3"/>
  <c r="J25" i="1"/>
  <c r="K25" i="1" s="1"/>
  <c r="D31" i="2"/>
  <c r="E31" i="2" s="1"/>
  <c r="E27" i="2"/>
  <c r="G12" i="1"/>
  <c r="L25" i="1"/>
  <c r="M13" i="1"/>
  <c r="K18" i="1"/>
  <c r="G18" i="2"/>
  <c r="F25" i="1"/>
  <c r="B61" i="3"/>
  <c r="B62" i="3" s="1"/>
  <c r="J24" i="1"/>
  <c r="G25" i="2"/>
  <c r="D30" i="3"/>
  <c r="B55" i="3"/>
  <c r="B57" i="3" s="1"/>
  <c r="E16" i="2"/>
  <c r="B27" i="2"/>
  <c r="D32" i="3"/>
  <c r="E18" i="2"/>
  <c r="K13" i="1" l="1"/>
  <c r="B69" i="3"/>
  <c r="C57" i="3"/>
  <c r="M24" i="1"/>
  <c r="M22" i="1"/>
  <c r="M25" i="1"/>
  <c r="K22" i="1"/>
  <c r="G25" i="1"/>
  <c r="G17" i="1"/>
  <c r="G22" i="1"/>
  <c r="C19" i="3"/>
  <c r="C35" i="3"/>
  <c r="C40" i="3"/>
  <c r="C20" i="3"/>
  <c r="K24" i="1"/>
  <c r="C27" i="2"/>
  <c r="B31" i="2"/>
  <c r="C13" i="3"/>
  <c r="C21" i="3" s="1"/>
  <c r="C22" i="3"/>
  <c r="G27" i="2"/>
  <c r="C4" i="3" s="1"/>
  <c r="M18" i="1"/>
  <c r="C69" i="3" l="1"/>
  <c r="C59" i="3"/>
  <c r="C53" i="3"/>
  <c r="C65" i="3"/>
  <c r="C64" i="3"/>
  <c r="C66" i="3"/>
  <c r="C68" i="3"/>
  <c r="C58" i="3"/>
  <c r="G31" i="2"/>
  <c r="C31" i="2"/>
  <c r="C62" i="3"/>
</calcChain>
</file>

<file path=xl/sharedStrings.xml><?xml version="1.0" encoding="utf-8"?>
<sst xmlns="http://schemas.openxmlformats.org/spreadsheetml/2006/main" count="190" uniqueCount="168">
  <si>
    <t>AKTIVA</t>
  </si>
  <si>
    <t>PASSIVA</t>
  </si>
  <si>
    <t>Summe Eigenkapital</t>
  </si>
  <si>
    <t>Summe AKTIVA</t>
  </si>
  <si>
    <t>Summe PASSIVA</t>
  </si>
  <si>
    <t>Gewinn- und Verlustrechnung</t>
  </si>
  <si>
    <t>Sachanlagen</t>
  </si>
  <si>
    <t>in%</t>
  </si>
  <si>
    <t>Betriebsleistung</t>
  </si>
  <si>
    <t>Veränderung zum Vorjahr</t>
  </si>
  <si>
    <t>Langfristiges Vermögen</t>
  </si>
  <si>
    <t>Kurzfristiges Vermögen</t>
  </si>
  <si>
    <t>Summe Langfristiges Vermögen</t>
  </si>
  <si>
    <t>Immaterielle Vermögenswerte</t>
  </si>
  <si>
    <t>Vorräte</t>
  </si>
  <si>
    <t>Summe kurtfristiges Vermögen</t>
  </si>
  <si>
    <t>Finanzverbindlichkeiten</t>
  </si>
  <si>
    <t>Rückstellungen</t>
  </si>
  <si>
    <t>Langfristige Verbindlichkeiten</t>
  </si>
  <si>
    <t xml:space="preserve"> </t>
  </si>
  <si>
    <t>Umsatzerlöse</t>
  </si>
  <si>
    <t>Sonstige betriebliche Erträge</t>
  </si>
  <si>
    <t>Bestandsveränderungen</t>
  </si>
  <si>
    <t>Aktivierte Eigenleistungen</t>
  </si>
  <si>
    <t>Personalaufwand</t>
  </si>
  <si>
    <t>Abschreibungen</t>
  </si>
  <si>
    <t>Sonstige betriebliche Aufwendungen</t>
  </si>
  <si>
    <t>Finanzergebnis</t>
  </si>
  <si>
    <t>Ertratssteuern</t>
  </si>
  <si>
    <t>davon nicht geherrschende Anteile</t>
  </si>
  <si>
    <t>davon Ergebnis der Muttergesellschaft</t>
  </si>
  <si>
    <t>Jahresergebnis</t>
  </si>
  <si>
    <t>Eigenkapitalquote</t>
  </si>
  <si>
    <t>Entschuldungsdauer</t>
  </si>
  <si>
    <t>Cashflow in % des Umsatzes</t>
  </si>
  <si>
    <t>Gesamtkapitalrentabilität</t>
  </si>
  <si>
    <t>EK*100/GK</t>
  </si>
  <si>
    <t>(FK-liquMit)/CF</t>
  </si>
  <si>
    <t>CF*100/Umsatz</t>
  </si>
  <si>
    <t>(EGT+FKZinsen)/GK</t>
  </si>
  <si>
    <t>Kf Verm-kf Verb</t>
  </si>
  <si>
    <t>(EK+lf FK)/AV</t>
  </si>
  <si>
    <t>Anlagendeckung II Grades</t>
  </si>
  <si>
    <t>Operatives Betriebsergebnis (Betriebsergebnis - EBIT)</t>
  </si>
  <si>
    <t>Note</t>
  </si>
  <si>
    <t xml:space="preserve">Anlageintensität: Anteil des Anlage am Gesamtvermögen, </t>
  </si>
  <si>
    <t xml:space="preserve">Working Capital ist ein Wert in €, der angiebt, </t>
  </si>
  <si>
    <t>Goldene Bilanzregel (langfristiges Vermögen sollte langfristig finanziert sein).</t>
  </si>
  <si>
    <t>Er kann für Investitionen, Schuldentilgungen bzw. Ausschüttungen verwendet werden.</t>
  </si>
  <si>
    <t>Vereinfachte Berechnung. Gibt Auskunft über die Selbstfinanzierungskraft des Unternehmens.</t>
  </si>
  <si>
    <t>Ergebnis vor Steuern (EBT)</t>
  </si>
  <si>
    <t>EBT(EGT)+AfA</t>
  </si>
  <si>
    <t>EBIT*100/Umsatz</t>
  </si>
  <si>
    <t>Earnings bevor interest &amp; Tax in % des Umsatzes</t>
  </si>
  <si>
    <t>EBITDA = EBIT + depreciation&amp;amortization - bessere Vergleichbarkeit vom operativen Geschäft</t>
  </si>
  <si>
    <t>Bilanz nach IFRS</t>
  </si>
  <si>
    <t>1.1.-31.12.</t>
  </si>
  <si>
    <t>Kapitalrücklagen</t>
  </si>
  <si>
    <t>Bruttoergebnis vom Umsatz</t>
  </si>
  <si>
    <t>Materialaufwendungen und bezogene Leistungen</t>
  </si>
  <si>
    <t>Beteiligungserträge</t>
  </si>
  <si>
    <t>Zinserträge</t>
  </si>
  <si>
    <t>Zinsaufwand</t>
  </si>
  <si>
    <t>sonstiges Finanzergebnis</t>
  </si>
  <si>
    <t>Beteiligungen an Equity bil. Unternehmen</t>
  </si>
  <si>
    <t>Übrige Verbindlichkeiten</t>
  </si>
  <si>
    <t>Lieferantenverbindlichkeiten</t>
  </si>
  <si>
    <t>Eigenkapital</t>
  </si>
  <si>
    <t>Grundkaptial</t>
  </si>
  <si>
    <t>Sonstige Rücklagen</t>
  </si>
  <si>
    <t>Einbehaltene Ergebnisse</t>
  </si>
  <si>
    <t>davon nicht beherrschande Anteile</t>
  </si>
  <si>
    <t>Kurzfristige Verbindlichkeiten</t>
  </si>
  <si>
    <t>Ebit Margine Vergleich</t>
  </si>
  <si>
    <t>Gesellschafter der Muttergesellschaft</t>
  </si>
  <si>
    <t>anlage oder umlaufintensiv</t>
  </si>
  <si>
    <t>Working Capital</t>
  </si>
  <si>
    <t>Cash Flow</t>
  </si>
  <si>
    <t>Quicktest</t>
  </si>
  <si>
    <t>Liquidität 2. Grades</t>
  </si>
  <si>
    <t>(Zhahlungsmittel + kuf Vermögen i.e. Forderungn)*100/kf Verb</t>
  </si>
  <si>
    <t>gibt an, ob kurzfristige Verbindlichkeiten durch Zahlungsmittel und kurzfristiges Vermögen</t>
  </si>
  <si>
    <t>a</t>
  </si>
  <si>
    <t>b</t>
  </si>
  <si>
    <t xml:space="preserve">c  </t>
  </si>
  <si>
    <t>KGV gibt an, wie viele Jahre es dauert, bis das Unternehmen den Wert seiner Aktien als Gewinn erwirtschaftet hat.</t>
  </si>
  <si>
    <t>Marktkapitalisierung</t>
  </si>
  <si>
    <t xml:space="preserve">ist der Gesamtwert der Anteile eines börsennotierten Unternehmens. </t>
  </si>
  <si>
    <t xml:space="preserve"> (Kurs * Anzahl der im Umlauf befindlichen Anteile des Unternehmens)</t>
  </si>
  <si>
    <t>Bilanzierung nach IFRS</t>
  </si>
  <si>
    <t>IFRS = International Financial Reporting Standards</t>
  </si>
  <si>
    <t>Unterschiede</t>
  </si>
  <si>
    <t>Anlegerschutz steht im Vordergrund (Gläubigerschutz bei UGB)</t>
  </si>
  <si>
    <t>True &amp; Fair View Prinzip (Vorsichtsprinzip bei UGB)</t>
  </si>
  <si>
    <t>kaum Wahlrechte (im UGB viele Wahlrechte</t>
  </si>
  <si>
    <t xml:space="preserve">es wird auch Kapitalflußrechnung und Eigenkapitalveränderungsrechnung veröffentlicht </t>
  </si>
  <si>
    <t>Aktivierungspflicht bei selbsterstellten immateriellen Vermögen</t>
  </si>
  <si>
    <t>Forderungen in Fremdwährung zu Stichtagswerten (UGB Niederstwertprinzip)</t>
  </si>
  <si>
    <t>Verbindlichkeiten in Fremdwährung zu Stichtagswerten (UGB Höchstwertprinzip)</t>
  </si>
  <si>
    <t>etc.</t>
  </si>
  <si>
    <t>Sonstige Finanzanlagen</t>
  </si>
  <si>
    <t>Sonstiges lfr. Vermögen</t>
  </si>
  <si>
    <t>Forderungen aus Lieferungen und Leistungen</t>
  </si>
  <si>
    <t>Sonstige Forderungen und Vermögenswerte</t>
  </si>
  <si>
    <t>Liquide Mittel</t>
  </si>
  <si>
    <t>Zur Veräußerung gehaltene Vermögenswerte</t>
  </si>
  <si>
    <t>Anleihen und Schuldscheindarlehen</t>
  </si>
  <si>
    <t>Sonstige langfristige Verbindlichkeiten</t>
  </si>
  <si>
    <t xml:space="preserve">Anleihen  </t>
  </si>
  <si>
    <t>EBT</t>
  </si>
  <si>
    <t>Mehr Personal oder Überstunden oder Erhöhungen</t>
  </si>
  <si>
    <t>Porr ist stark umlaufintensiv v.a. Forderungen und liquide Mittel</t>
  </si>
  <si>
    <t xml:space="preserve"> wieviel des Umlaufvermögens langfristig finanziert ist. Sollte positiv sein. Ist hier gegeben, und hat sich stark verbessert.</t>
  </si>
  <si>
    <t>abgedeckt werden können. Ist hier gegeben.</t>
  </si>
  <si>
    <t xml:space="preserve"> Anlagendeckung 2. Grades prüft diese Regel. Sollte &gt;100% liegen. Ist hier gegeben.</t>
  </si>
  <si>
    <t>Das Unternehmen verfügt über Anleihen.</t>
  </si>
  <si>
    <t>Derivative Finanzinstrumente</t>
  </si>
  <si>
    <t xml:space="preserve">F, M, S&amp;P: BB fast investment grade, </t>
  </si>
  <si>
    <t>Stimmrecht</t>
  </si>
  <si>
    <t>d  e</t>
  </si>
  <si>
    <t>f</t>
  </si>
  <si>
    <t xml:space="preserve">g   </t>
  </si>
  <si>
    <t>h   i</t>
  </si>
  <si>
    <t xml:space="preserve">j    </t>
  </si>
  <si>
    <t xml:space="preserve">k </t>
  </si>
  <si>
    <t xml:space="preserve">l  </t>
  </si>
  <si>
    <t xml:space="preserve">m  </t>
  </si>
  <si>
    <t xml:space="preserve">n </t>
  </si>
  <si>
    <t>o IPO</t>
  </si>
  <si>
    <t>Börsegang, Primary, Secondary Market, Investmentbanken, Eigenkpaital am Kapitalmartk</t>
  </si>
  <si>
    <t>Überblick</t>
  </si>
  <si>
    <t>EK</t>
  </si>
  <si>
    <t>FK</t>
  </si>
  <si>
    <t>außen</t>
  </si>
  <si>
    <t>Grundkapital</t>
  </si>
  <si>
    <t>Kredit</t>
  </si>
  <si>
    <t>innen</t>
  </si>
  <si>
    <t>Gewinn</t>
  </si>
  <si>
    <t>Rückstellung</t>
  </si>
  <si>
    <t>EK +</t>
  </si>
  <si>
    <t>EK -</t>
  </si>
  <si>
    <t>unbefristet, Sicherheit</t>
  </si>
  <si>
    <t xml:space="preserve">höheres Risiko, Kap.bindung </t>
  </si>
  <si>
    <t>Gewinn+</t>
  </si>
  <si>
    <t>Gewinn -</t>
  </si>
  <si>
    <t>Steigerung EK Quote, Unabhkt.</t>
  </si>
  <si>
    <t xml:space="preserve">Widerstand Investoren, </t>
  </si>
  <si>
    <t>Kredit +</t>
  </si>
  <si>
    <t>Kredit -</t>
  </si>
  <si>
    <t xml:space="preserve">Häufigste Finanzierungsform, Verfügbarkeit, Einfach, </t>
  </si>
  <si>
    <t>Abhängigkeit, kostet Zinsen, scheint in der Bilanz auf</t>
  </si>
  <si>
    <t>Sicherheit notwendig</t>
  </si>
  <si>
    <t>Rückstellung +</t>
  </si>
  <si>
    <t>Rückstellung -</t>
  </si>
  <si>
    <t>kommt aus Unt, Gestaltbarkeit</t>
  </si>
  <si>
    <t xml:space="preserve">Gewinnminderung, </t>
  </si>
  <si>
    <t>Achsen: Kurs und Zeit</t>
  </si>
  <si>
    <t>langfristige Forderungen</t>
  </si>
  <si>
    <t>31.12.20.. (in TEUR.)</t>
  </si>
  <si>
    <t>Vorjahr    (in TEUR.)</t>
  </si>
  <si>
    <t>Abschlussjahr (in TEUR.)</t>
  </si>
  <si>
    <t>Geschäftsrückgang</t>
  </si>
  <si>
    <t>Erbegnisverschlechterung</t>
  </si>
  <si>
    <t>Rückgang des Anlagevermögens</t>
  </si>
  <si>
    <t>Negatives Eigenkaptial weiter angestiegen</t>
  </si>
  <si>
    <t>Gründe: schlechte Geschäftslage, Kosten, zu wenig EK, Preise...</t>
  </si>
  <si>
    <t>AIR BERLIN 2008</t>
  </si>
  <si>
    <t>Air Berlin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</si>
</sst>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</numFmts>
  <fonts count="21">
    <font>
      <sz val="12"/>
      <color theme="1"/>
      <name val="Calibri"/>
      <family val="2"/>
      <charset val="129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Myriad Pro"/>
      <family val="2"/>
    </font>
    <font>
      <b/>
      <sz val="10"/>
      <name val="Myriad Pro"/>
      <family val="2"/>
    </font>
    <font>
      <b/>
      <sz val="10"/>
      <color theme="0"/>
      <name val="Myriad Pro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Myriad Pro"/>
    </font>
    <font>
      <b/>
      <sz val="8"/>
      <name val="Myriad Pro"/>
    </font>
    <font>
      <sz val="6"/>
      <name val="Myriad Pro"/>
    </font>
    <font>
      <b/>
      <sz val="6"/>
      <name val="Myriad Pro"/>
    </font>
    <font>
      <b/>
      <sz val="6"/>
      <color theme="0"/>
      <name val="Myriad Pro"/>
    </font>
    <font>
      <sz val="6"/>
      <color theme="1"/>
      <name val="Calibri"/>
      <family val="2"/>
      <scheme val="minor"/>
    </font>
    <font>
      <sz val="8"/>
      <name val="Calibri"/>
      <family val="2"/>
      <charset val="134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8000"/>
      <name val="Calibri"/>
      <family val="2"/>
      <scheme val="minor"/>
    </font>
    <font>
      <b/>
      <sz val="8"/>
      <color rgb="FF008000"/>
      <name val="Calibri"/>
      <family val="2"/>
      <scheme val="minor"/>
    </font>
    <font>
      <b/>
      <sz val="8"/>
      <color theme="0"/>
      <name val="Myriad Pro"/>
      <family val="2"/>
    </font>
    <font>
      <sz val="7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53">
    <xf numFmtId="0" fontId="0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11">
    <xf numFmtId="0" fontId="0" fillId="0" borderId="0" xfId="0"/>
    <xf numFmtId="0" fontId="3" fillId="0" borderId="0" xfId="0" applyFont="1" applyFill="1" applyAlignment="1">
      <alignment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4" xfId="0" applyFont="1" applyFill="1" applyBorder="1"/>
    <xf numFmtId="0" fontId="4" fillId="0" borderId="0" xfId="0" applyFont="1" applyFill="1"/>
    <xf numFmtId="3" fontId="3" fillId="0" borderId="4" xfId="0" applyNumberFormat="1" applyFont="1" applyFill="1" applyBorder="1"/>
    <xf numFmtId="3" fontId="4" fillId="0" borderId="4" xfId="0" applyNumberFormat="1" applyFont="1" applyFill="1" applyBorder="1"/>
    <xf numFmtId="0" fontId="5" fillId="2" borderId="0" xfId="0" applyFont="1" applyFill="1"/>
    <xf numFmtId="3" fontId="5" fillId="2" borderId="4" xfId="0" applyNumberFormat="1" applyFont="1" applyFill="1" applyBorder="1"/>
    <xf numFmtId="0" fontId="4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4" fillId="0" borderId="0" xfId="0" applyFont="1" applyFill="1" applyBorder="1"/>
    <xf numFmtId="165" fontId="4" fillId="0" borderId="4" xfId="32" applyNumberFormat="1" applyFont="1" applyFill="1" applyBorder="1"/>
    <xf numFmtId="3" fontId="8" fillId="0" borderId="4" xfId="0" applyNumberFormat="1" applyFont="1" applyFill="1" applyBorder="1"/>
    <xf numFmtId="9" fontId="9" fillId="0" borderId="4" xfId="1" applyFont="1" applyFill="1" applyBorder="1"/>
    <xf numFmtId="9" fontId="8" fillId="0" borderId="4" xfId="1" applyFont="1" applyFill="1" applyBorder="1"/>
    <xf numFmtId="3" fontId="9" fillId="0" borderId="4" xfId="0" applyNumberFormat="1" applyFont="1" applyFill="1" applyBorder="1"/>
    <xf numFmtId="0" fontId="8" fillId="0" borderId="0" xfId="0" applyFont="1"/>
    <xf numFmtId="0" fontId="10" fillId="0" borderId="0" xfId="0" applyFont="1" applyFill="1" applyAlignment="1">
      <alignment vertical="center" wrapText="1"/>
    </xf>
    <xf numFmtId="0" fontId="10" fillId="0" borderId="0" xfId="0" applyFont="1" applyFill="1"/>
    <xf numFmtId="0" fontId="10" fillId="0" borderId="4" xfId="0" applyFont="1" applyFill="1" applyBorder="1"/>
    <xf numFmtId="3" fontId="10" fillId="0" borderId="4" xfId="0" applyNumberFormat="1" applyFont="1" applyFill="1" applyBorder="1"/>
    <xf numFmtId="9" fontId="10" fillId="0" borderId="4" xfId="1" applyFont="1" applyFill="1" applyBorder="1"/>
    <xf numFmtId="3" fontId="10" fillId="0" borderId="6" xfId="0" applyNumberFormat="1" applyFont="1" applyFill="1" applyBorder="1"/>
    <xf numFmtId="3" fontId="11" fillId="0" borderId="4" xfId="0" applyNumberFormat="1" applyFont="1" applyFill="1" applyBorder="1"/>
    <xf numFmtId="9" fontId="12" fillId="2" borderId="4" xfId="1" applyFont="1" applyFill="1" applyBorder="1"/>
    <xf numFmtId="14" fontId="11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/>
    <xf numFmtId="3" fontId="10" fillId="0" borderId="5" xfId="0" applyNumberFormat="1" applyFont="1" applyFill="1" applyBorder="1"/>
    <xf numFmtId="14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5" fillId="0" borderId="0" xfId="0" applyFont="1"/>
    <xf numFmtId="0" fontId="16" fillId="0" borderId="0" xfId="0" applyFont="1"/>
    <xf numFmtId="0" fontId="15" fillId="4" borderId="0" xfId="0" applyFont="1" applyFill="1"/>
    <xf numFmtId="0" fontId="17" fillId="0" borderId="0" xfId="0" applyFont="1"/>
    <xf numFmtId="0" fontId="17" fillId="4" borderId="0" xfId="0" applyFont="1" applyFill="1"/>
    <xf numFmtId="0" fontId="18" fillId="0" borderId="0" xfId="0" applyFont="1"/>
    <xf numFmtId="9" fontId="17" fillId="0" borderId="0" xfId="0" applyNumberFormat="1" applyFont="1"/>
    <xf numFmtId="9" fontId="18" fillId="4" borderId="0" xfId="1" applyFont="1" applyFill="1"/>
    <xf numFmtId="165" fontId="18" fillId="4" borderId="0" xfId="32" applyNumberFormat="1" applyFont="1" applyFill="1"/>
    <xf numFmtId="0" fontId="17" fillId="4" borderId="0" xfId="0" applyFont="1" applyFill="1" applyAlignment="1">
      <alignment horizontal="center"/>
    </xf>
    <xf numFmtId="0" fontId="17" fillId="4" borderId="8" xfId="0" applyFont="1" applyFill="1" applyBorder="1"/>
    <xf numFmtId="9" fontId="18" fillId="4" borderId="8" xfId="1" applyFont="1" applyFill="1" applyBorder="1"/>
    <xf numFmtId="0" fontId="17" fillId="4" borderId="8" xfId="0" applyFont="1" applyFill="1" applyBorder="1" applyAlignment="1">
      <alignment horizontal="center"/>
    </xf>
    <xf numFmtId="164" fontId="18" fillId="4" borderId="8" xfId="32" applyNumberFormat="1" applyFont="1" applyFill="1" applyBorder="1"/>
    <xf numFmtId="166" fontId="18" fillId="4" borderId="8" xfId="1" applyNumberFormat="1" applyFont="1" applyFill="1" applyBorder="1"/>
    <xf numFmtId="0" fontId="17" fillId="4" borderId="8" xfId="0" quotePrefix="1" applyFont="1" applyFill="1" applyBorder="1" applyAlignment="1">
      <alignment horizontal="center"/>
    </xf>
    <xf numFmtId="3" fontId="18" fillId="4" borderId="0" xfId="0" applyNumberFormat="1" applyFont="1" applyFill="1"/>
    <xf numFmtId="3" fontId="17" fillId="4" borderId="0" xfId="0" applyNumberFormat="1" applyFont="1" applyFill="1"/>
    <xf numFmtId="9" fontId="15" fillId="0" borderId="0" xfId="1" applyFont="1"/>
    <xf numFmtId="0" fontId="9" fillId="0" borderId="0" xfId="0" applyFont="1" applyFill="1"/>
    <xf numFmtId="165" fontId="9" fillId="0" borderId="4" xfId="32" applyNumberFormat="1" applyFont="1" applyFill="1" applyBorder="1"/>
    <xf numFmtId="0" fontId="8" fillId="5" borderId="0" xfId="0" applyFont="1" applyFill="1"/>
    <xf numFmtId="165" fontId="8" fillId="5" borderId="4" xfId="32" applyNumberFormat="1" applyFont="1" applyFill="1" applyBorder="1"/>
    <xf numFmtId="0" fontId="19" fillId="2" borderId="0" xfId="0" applyFont="1" applyFill="1"/>
    <xf numFmtId="3" fontId="19" fillId="2" borderId="4" xfId="0" applyNumberFormat="1" applyFont="1" applyFill="1" applyBorder="1"/>
    <xf numFmtId="9" fontId="17" fillId="0" borderId="0" xfId="1" applyFont="1"/>
    <xf numFmtId="14" fontId="9" fillId="0" borderId="3" xfId="0" applyNumberFormat="1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14" fontId="9" fillId="0" borderId="3" xfId="0" applyNumberFormat="1" applyFont="1" applyBorder="1" applyAlignment="1">
      <alignment horizontal="center"/>
    </xf>
    <xf numFmtId="14" fontId="9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8" fillId="0" borderId="0" xfId="0" applyFont="1" applyAlignment="1">
      <alignment vertical="top" wrapText="1"/>
    </xf>
    <xf numFmtId="0" fontId="8" fillId="0" borderId="4" xfId="0" applyFont="1" applyBorder="1"/>
    <xf numFmtId="3" fontId="8" fillId="0" borderId="4" xfId="0" applyNumberFormat="1" applyFont="1" applyBorder="1"/>
    <xf numFmtId="0" fontId="9" fillId="3" borderId="0" xfId="0" applyFont="1" applyFill="1" applyAlignment="1">
      <alignment vertical="top" wrapText="1"/>
    </xf>
    <xf numFmtId="3" fontId="9" fillId="3" borderId="4" xfId="0" applyNumberFormat="1" applyFont="1" applyFill="1" applyBorder="1"/>
    <xf numFmtId="0" fontId="9" fillId="0" borderId="0" xfId="0" applyFont="1" applyFill="1" applyAlignment="1">
      <alignment vertical="top" wrapText="1"/>
    </xf>
    <xf numFmtId="9" fontId="18" fillId="0" borderId="0" xfId="1" applyFont="1"/>
    <xf numFmtId="0" fontId="8" fillId="6" borderId="0" xfId="0" applyFont="1" applyFill="1" applyAlignment="1">
      <alignment vertical="top" wrapText="1"/>
    </xf>
    <xf numFmtId="3" fontId="8" fillId="6" borderId="4" xfId="0" applyNumberFormat="1" applyFont="1" applyFill="1" applyBorder="1"/>
    <xf numFmtId="3" fontId="9" fillId="6" borderId="4" xfId="0" applyNumberFormat="1" applyFont="1" applyFill="1" applyBorder="1"/>
    <xf numFmtId="9" fontId="9" fillId="6" borderId="4" xfId="1" applyFont="1" applyFill="1" applyBorder="1"/>
    <xf numFmtId="0" fontId="8" fillId="6" borderId="0" xfId="0" applyFont="1" applyFill="1" applyAlignment="1">
      <alignment vertical="center" wrapText="1"/>
    </xf>
    <xf numFmtId="3" fontId="8" fillId="6" borderId="4" xfId="0" applyNumberFormat="1" applyFont="1" applyFill="1" applyBorder="1" applyAlignment="1">
      <alignment vertical="center"/>
    </xf>
    <xf numFmtId="9" fontId="8" fillId="6" borderId="4" xfId="1" applyFont="1" applyFill="1" applyBorder="1"/>
    <xf numFmtId="0" fontId="8" fillId="7" borderId="0" xfId="0" applyFont="1" applyFill="1" applyAlignment="1">
      <alignment vertical="top" wrapText="1"/>
    </xf>
    <xf numFmtId="3" fontId="8" fillId="7" borderId="4" xfId="0" applyNumberFormat="1" applyFont="1" applyFill="1" applyBorder="1"/>
    <xf numFmtId="165" fontId="3" fillId="0" borderId="4" xfId="32" applyNumberFormat="1" applyFont="1" applyFill="1" applyBorder="1"/>
    <xf numFmtId="0" fontId="3" fillId="0" borderId="5" xfId="0" applyFont="1" applyFill="1" applyBorder="1"/>
    <xf numFmtId="165" fontId="3" fillId="0" borderId="6" xfId="32" applyNumberFormat="1" applyFont="1" applyFill="1" applyBorder="1"/>
    <xf numFmtId="3" fontId="3" fillId="0" borderId="6" xfId="0" applyNumberFormat="1" applyFont="1" applyFill="1" applyBorder="1"/>
    <xf numFmtId="3" fontId="3" fillId="0" borderId="7" xfId="0" applyNumberFormat="1" applyFont="1" applyFill="1" applyBorder="1"/>
    <xf numFmtId="1" fontId="17" fillId="4" borderId="8" xfId="0" quotePrefix="1" applyNumberFormat="1" applyFont="1" applyFill="1" applyBorder="1" applyAlignment="1">
      <alignment horizontal="center"/>
    </xf>
    <xf numFmtId="0" fontId="8" fillId="0" borderId="4" xfId="0" applyFont="1" applyFill="1" applyBorder="1"/>
    <xf numFmtId="0" fontId="8" fillId="0" borderId="0" xfId="0" applyFont="1" applyFill="1"/>
    <xf numFmtId="165" fontId="8" fillId="0" borderId="4" xfId="32" applyNumberFormat="1" applyFont="1" applyFill="1" applyBorder="1"/>
    <xf numFmtId="0" fontId="8" fillId="8" borderId="0" xfId="0" applyFont="1" applyFill="1"/>
    <xf numFmtId="3" fontId="8" fillId="8" borderId="4" xfId="0" applyNumberFormat="1" applyFont="1" applyFill="1" applyBorder="1"/>
    <xf numFmtId="0" fontId="8" fillId="9" borderId="0" xfId="0" applyFont="1" applyFill="1"/>
    <xf numFmtId="3" fontId="8" fillId="9" borderId="4" xfId="0" applyNumberFormat="1" applyFont="1" applyFill="1" applyBorder="1"/>
    <xf numFmtId="0" fontId="8" fillId="10" borderId="0" xfId="0" applyFont="1" applyFill="1"/>
    <xf numFmtId="165" fontId="8" fillId="10" borderId="4" xfId="32" applyNumberFormat="1" applyFont="1" applyFill="1" applyBorder="1"/>
    <xf numFmtId="0" fontId="16" fillId="11" borderId="8" xfId="0" applyFont="1" applyFill="1" applyBorder="1"/>
    <xf numFmtId="0" fontId="16" fillId="0" borderId="8" xfId="0" applyFont="1" applyBorder="1"/>
    <xf numFmtId="0" fontId="15" fillId="0" borderId="8" xfId="0" applyFont="1" applyBorder="1"/>
    <xf numFmtId="0" fontId="20" fillId="0" borderId="9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0" fillId="4" borderId="0" xfId="0" applyFill="1"/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9" fontId="0" fillId="0" borderId="0" xfId="1" applyFont="1"/>
  </cellXfs>
  <cellStyles count="253"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9" builtinId="9" hidden="1"/>
    <cellStyle name="Besuchter Hyperlink" xfId="11" builtinId="9" hidden="1"/>
    <cellStyle name="Besuchter Hyperlink" xfId="13" builtinId="9" hidden="1"/>
    <cellStyle name="Besuchter Hyperlink" xfId="15" builtinId="9" hidden="1"/>
    <cellStyle name="Besuchter Hyperlink" xfId="17" builtinId="9" hidden="1"/>
    <cellStyle name="Besuchter Hyperlink" xfId="19" builtinId="9" hidden="1"/>
    <cellStyle name="Besuchter Hyperlink" xfId="21" builtinId="9" hidden="1"/>
    <cellStyle name="Besuchter Hyperlink" xfId="23" builtinId="9" hidden="1"/>
    <cellStyle name="Besuchter Hyperlink" xfId="25" builtinId="9" hidden="1"/>
    <cellStyle name="Besuchter Hyperlink" xfId="27" builtinId="9" hidden="1"/>
    <cellStyle name="Besuchter Hyperlink" xfId="29" builtinId="9" hidden="1"/>
    <cellStyle name="Besuchter Hyperlink" xfId="31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Besuchter Hyperlink" xfId="166" builtinId="9" hidden="1"/>
    <cellStyle name="Besuchter Hyperlink" xfId="168" builtinId="9" hidden="1"/>
    <cellStyle name="Besuchter Hyperlink" xfId="170" builtinId="9" hidden="1"/>
    <cellStyle name="Besuchter Hyperlink" xfId="172" builtinId="9" hidden="1"/>
    <cellStyle name="Besuchter Hyperlink" xfId="174" builtinId="9" hidden="1"/>
    <cellStyle name="Besuchter Hyperlink" xfId="176" builtinId="9" hidden="1"/>
    <cellStyle name="Besuchter Hyperlink" xfId="178" builtinId="9" hidden="1"/>
    <cellStyle name="Besuchter Hyperlink" xfId="180" builtinId="9" hidden="1"/>
    <cellStyle name="Besuchter Hyperlink" xfId="182" builtinId="9" hidden="1"/>
    <cellStyle name="Besuchter Hyperlink" xfId="184" builtinId="9" hidden="1"/>
    <cellStyle name="Besuchter Hyperlink" xfId="186" builtinId="9" hidden="1"/>
    <cellStyle name="Besuchter Hyperlink" xfId="188" builtinId="9" hidden="1"/>
    <cellStyle name="Besuchter Hyperlink" xfId="190" builtinId="9" hidden="1"/>
    <cellStyle name="Besuchter Hyperlink" xfId="192" builtinId="9" hidden="1"/>
    <cellStyle name="Besuchter Hyperlink" xfId="194" builtinId="9" hidden="1"/>
    <cellStyle name="Besuchter Hyperlink" xfId="196" builtinId="9" hidden="1"/>
    <cellStyle name="Besuchter Hyperlink" xfId="198" builtinId="9" hidden="1"/>
    <cellStyle name="Besuchter Hyperlink" xfId="200" builtinId="9" hidden="1"/>
    <cellStyle name="Besuchter Hyperlink" xfId="202" builtinId="9" hidden="1"/>
    <cellStyle name="Besuchter Hyperlink" xfId="204" builtinId="9" hidden="1"/>
    <cellStyle name="Besuchter Hyperlink" xfId="206" builtinId="9" hidden="1"/>
    <cellStyle name="Besuchter Hyperlink" xfId="208" builtinId="9" hidden="1"/>
    <cellStyle name="Besuchter Hyperlink" xfId="210" builtinId="9" hidden="1"/>
    <cellStyle name="Besuchter Hyperlink" xfId="212" builtinId="9" hidden="1"/>
    <cellStyle name="Besuchter Hyperlink" xfId="214" builtinId="9" hidden="1"/>
    <cellStyle name="Besuchter Hyperlink" xfId="216" builtinId="9" hidden="1"/>
    <cellStyle name="Besuchter Hyperlink" xfId="218" builtinId="9" hidden="1"/>
    <cellStyle name="Besuchter Hyperlink" xfId="220" builtinId="9" hidden="1"/>
    <cellStyle name="Besuchter Hyperlink" xfId="222" builtinId="9" hidden="1"/>
    <cellStyle name="Besuchter Hyperlink" xfId="224" builtinId="9" hidden="1"/>
    <cellStyle name="Besuchter Hyperlink" xfId="226" builtinId="9" hidden="1"/>
    <cellStyle name="Besuchter Hyperlink" xfId="228" builtinId="9" hidden="1"/>
    <cellStyle name="Besuchter Hyperlink" xfId="230" builtinId="9" hidden="1"/>
    <cellStyle name="Besuchter Hyperlink" xfId="232" builtinId="9" hidden="1"/>
    <cellStyle name="Besuchter Hyperlink" xfId="234" builtinId="9" hidden="1"/>
    <cellStyle name="Besuchter Hyperlink" xfId="236" builtinId="9" hidden="1"/>
    <cellStyle name="Besuchter Hyperlink" xfId="238" builtinId="9" hidden="1"/>
    <cellStyle name="Besuchter Hyperlink" xfId="240" builtinId="9" hidden="1"/>
    <cellStyle name="Besuchter Hyperlink" xfId="242" builtinId="9" hidden="1"/>
    <cellStyle name="Besuchter Hyperlink" xfId="244" builtinId="9" hidden="1"/>
    <cellStyle name="Besuchter Hyperlink" xfId="246" builtinId="9" hidden="1"/>
    <cellStyle name="Besuchter Hyperlink" xfId="248" builtinId="9" hidden="1"/>
    <cellStyle name="Besuchter Hyperlink" xfId="250" builtinId="9" hidden="1"/>
    <cellStyle name="Besuchter Hyperlink" xfId="252" builtinId="9" hidden="1"/>
    <cellStyle name="Komma" xfId="32" builtinId="3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Prozent" xfId="1" builtinId="5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22</xdr:row>
      <xdr:rowOff>12700</xdr:rowOff>
    </xdr:from>
    <xdr:to>
      <xdr:col>4</xdr:col>
      <xdr:colOff>139700</xdr:colOff>
      <xdr:row>27</xdr:row>
      <xdr:rowOff>190499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4203700"/>
          <a:ext cx="3746500" cy="113029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1625600</xdr:colOff>
      <xdr:row>102</xdr:row>
      <xdr:rowOff>0</xdr:rowOff>
    </xdr:from>
    <xdr:to>
      <xdr:col>2</xdr:col>
      <xdr:colOff>457200</xdr:colOff>
      <xdr:row>104</xdr:row>
      <xdr:rowOff>88900</xdr:rowOff>
    </xdr:to>
    <xdr:sp macro="" textlink="">
      <xdr:nvSpPr>
        <xdr:cNvPr id="23" name="Oval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1625600" y="19431000"/>
          <a:ext cx="1752600" cy="469900"/>
        </a:xfrm>
        <a:prstGeom prst="ellipse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1612900</xdr:colOff>
      <xdr:row>105</xdr:row>
      <xdr:rowOff>101600</xdr:rowOff>
    </xdr:from>
    <xdr:to>
      <xdr:col>2</xdr:col>
      <xdr:colOff>444500</xdr:colOff>
      <xdr:row>108</xdr:row>
      <xdr:rowOff>0</xdr:rowOff>
    </xdr:to>
    <xdr:sp macro="" textlink="">
      <xdr:nvSpPr>
        <xdr:cNvPr id="24" name="Oval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612900" y="20104100"/>
          <a:ext cx="1752600" cy="469900"/>
        </a:xfrm>
        <a:prstGeom prst="ellipse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1562100</xdr:colOff>
      <xdr:row>107</xdr:row>
      <xdr:rowOff>165100</xdr:rowOff>
    </xdr:from>
    <xdr:to>
      <xdr:col>2</xdr:col>
      <xdr:colOff>393700</xdr:colOff>
      <xdr:row>110</xdr:row>
      <xdr:rowOff>63500</xdr:rowOff>
    </xdr:to>
    <xdr:sp macro="" textlink="">
      <xdr:nvSpPr>
        <xdr:cNvPr id="25" name="Oval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1562100" y="20548600"/>
          <a:ext cx="1752600" cy="469900"/>
        </a:xfrm>
        <a:prstGeom prst="ellipse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1600200</xdr:colOff>
      <xdr:row>103</xdr:row>
      <xdr:rowOff>177800</xdr:rowOff>
    </xdr:from>
    <xdr:to>
      <xdr:col>2</xdr:col>
      <xdr:colOff>431800</xdr:colOff>
      <xdr:row>106</xdr:row>
      <xdr:rowOff>76200</xdr:rowOff>
    </xdr:to>
    <xdr:sp macro="" textlink="">
      <xdr:nvSpPr>
        <xdr:cNvPr id="26" name="Oval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1600200" y="19799300"/>
          <a:ext cx="1752600" cy="469900"/>
        </a:xfrm>
        <a:prstGeom prst="ellipse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opLeftCell="D1" workbookViewId="0">
      <selection activeCell="B1" sqref="B1:M25"/>
    </sheetView>
  </sheetViews>
  <sheetFormatPr baseColWidth="10" defaultRowHeight="16"/>
  <cols>
    <col min="1" max="1" width="1.1640625" customWidth="1"/>
    <col min="2" max="2" width="1.33203125" customWidth="1"/>
    <col min="3" max="3" width="29.83203125" customWidth="1"/>
    <col min="4" max="4" width="11" customWidth="1"/>
    <col min="5" max="5" width="0.1640625" style="29" customWidth="1"/>
    <col min="6" max="6" width="11" customWidth="1"/>
    <col min="7" max="7" width="0.1640625" style="29" customWidth="1"/>
    <col min="8" max="8" width="1.5" customWidth="1"/>
    <col min="9" max="9" width="28.33203125" customWidth="1"/>
    <col min="10" max="10" width="11" customWidth="1"/>
    <col min="11" max="11" width="0.1640625" style="29" customWidth="1"/>
    <col min="12" max="12" width="11" customWidth="1"/>
    <col min="13" max="13" width="4.5" hidden="1" customWidth="1"/>
  </cols>
  <sheetData>
    <row r="1" spans="1:14">
      <c r="A1" s="1"/>
      <c r="B1" s="103" t="s">
        <v>166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"/>
    </row>
    <row r="2" spans="1:14">
      <c r="A2" s="3"/>
      <c r="B2" s="103" t="s">
        <v>55</v>
      </c>
      <c r="C2" s="103"/>
      <c r="D2" s="103"/>
      <c r="E2" s="103"/>
      <c r="F2" s="103"/>
      <c r="G2" s="103"/>
      <c r="N2" s="3"/>
    </row>
    <row r="3" spans="1:14" ht="34" thickBot="1">
      <c r="A3" s="102"/>
      <c r="B3" s="104" t="s">
        <v>0</v>
      </c>
      <c r="C3" s="105"/>
      <c r="D3" s="2" t="s">
        <v>158</v>
      </c>
      <c r="E3" s="28" t="s">
        <v>7</v>
      </c>
      <c r="F3" s="2" t="s">
        <v>159</v>
      </c>
      <c r="G3" s="20"/>
      <c r="H3" s="106" t="s">
        <v>1</v>
      </c>
      <c r="I3" s="107"/>
      <c r="J3" s="2" t="str">
        <f>D3</f>
        <v>31.12.20.. (in TEUR.)</v>
      </c>
      <c r="K3" s="28" t="s">
        <v>7</v>
      </c>
      <c r="L3" s="2" t="str">
        <f>F3</f>
        <v>Vorjahr    (in TEUR.)</v>
      </c>
      <c r="M3" s="20" t="s">
        <v>7</v>
      </c>
      <c r="N3" s="3"/>
    </row>
    <row r="4" spans="1:14">
      <c r="A4" s="102"/>
      <c r="B4" s="3"/>
      <c r="C4" s="3"/>
      <c r="D4" s="4"/>
      <c r="E4" s="22"/>
      <c r="F4" s="4"/>
      <c r="G4" s="21"/>
      <c r="H4" s="3"/>
      <c r="I4" s="3"/>
      <c r="J4" s="4"/>
      <c r="K4" s="22"/>
      <c r="L4" s="4"/>
      <c r="M4" s="21"/>
      <c r="N4" s="3"/>
    </row>
    <row r="5" spans="1:14">
      <c r="A5" s="102"/>
      <c r="B5" s="5"/>
      <c r="C5" s="5" t="s">
        <v>10</v>
      </c>
      <c r="D5" s="4"/>
      <c r="E5" s="22"/>
      <c r="F5" s="4"/>
      <c r="G5" s="22"/>
      <c r="H5" s="5"/>
      <c r="I5" s="5" t="s">
        <v>67</v>
      </c>
      <c r="J5" s="4"/>
      <c r="K5" s="22"/>
      <c r="L5" s="4"/>
      <c r="M5" s="22"/>
      <c r="N5" s="3"/>
    </row>
    <row r="6" spans="1:14">
      <c r="A6" s="102"/>
      <c r="B6" s="3"/>
      <c r="C6" s="3" t="s">
        <v>13</v>
      </c>
      <c r="D6" s="80">
        <v>313819</v>
      </c>
      <c r="E6" s="22"/>
      <c r="F6" s="80">
        <v>317765</v>
      </c>
      <c r="G6" s="22"/>
      <c r="H6" s="3"/>
      <c r="I6" s="3" t="s">
        <v>68</v>
      </c>
      <c r="J6" s="6">
        <v>16502</v>
      </c>
      <c r="K6" s="23"/>
      <c r="L6" s="6">
        <v>16502</v>
      </c>
      <c r="M6" s="23"/>
      <c r="N6" s="3"/>
    </row>
    <row r="7" spans="1:14">
      <c r="A7" s="102"/>
      <c r="B7" s="3"/>
      <c r="C7" s="3" t="s">
        <v>6</v>
      </c>
      <c r="D7" s="80">
        <v>1269943</v>
      </c>
      <c r="E7" s="22"/>
      <c r="F7" s="80">
        <v>1203610</v>
      </c>
      <c r="G7" s="23"/>
      <c r="H7" s="3"/>
      <c r="I7" s="3" t="s">
        <v>57</v>
      </c>
      <c r="J7" s="6">
        <v>307501</v>
      </c>
      <c r="K7" s="23"/>
      <c r="L7" s="6">
        <v>307501</v>
      </c>
      <c r="M7" s="23"/>
      <c r="N7" s="3"/>
    </row>
    <row r="8" spans="1:14">
      <c r="A8" s="102"/>
      <c r="B8" s="3"/>
      <c r="C8" s="3" t="s">
        <v>157</v>
      </c>
      <c r="D8" s="80">
        <v>108254</v>
      </c>
      <c r="E8" s="22"/>
      <c r="F8" s="80">
        <v>100963</v>
      </c>
      <c r="G8" s="23"/>
      <c r="H8" s="3"/>
      <c r="I8" s="3" t="s">
        <v>69</v>
      </c>
      <c r="J8" s="6">
        <f>27344+217056-135294+936</f>
        <v>110042</v>
      </c>
      <c r="K8" s="23"/>
      <c r="L8" s="6">
        <f>27431+217056-6639-201</f>
        <v>237647</v>
      </c>
      <c r="M8" s="23"/>
      <c r="N8" s="3"/>
    </row>
    <row r="9" spans="1:14">
      <c r="A9" s="102"/>
      <c r="B9" s="3"/>
      <c r="C9" s="3" t="s">
        <v>64</v>
      </c>
      <c r="D9" s="80">
        <v>1771</v>
      </c>
      <c r="E9" s="22"/>
      <c r="F9" s="80">
        <v>935</v>
      </c>
      <c r="G9" s="23"/>
      <c r="H9" s="3"/>
      <c r="I9" s="3" t="s">
        <v>70</v>
      </c>
      <c r="J9" s="6">
        <v>-43273</v>
      </c>
      <c r="K9" s="23"/>
      <c r="L9" s="6">
        <v>31889</v>
      </c>
      <c r="M9" s="23"/>
      <c r="N9" s="3"/>
    </row>
    <row r="10" spans="1:14">
      <c r="A10" s="102"/>
      <c r="B10" s="3"/>
      <c r="C10" s="3" t="s">
        <v>100</v>
      </c>
      <c r="D10" s="80">
        <v>664</v>
      </c>
      <c r="E10" s="22"/>
      <c r="F10" s="80">
        <v>2077</v>
      </c>
      <c r="G10" s="23"/>
      <c r="H10" s="3"/>
      <c r="I10" s="3"/>
      <c r="J10" s="6"/>
      <c r="K10" s="23"/>
      <c r="L10" s="6"/>
      <c r="M10" s="23"/>
      <c r="N10" s="3"/>
    </row>
    <row r="11" spans="1:14">
      <c r="A11" s="3"/>
      <c r="B11" s="3"/>
      <c r="C11" s="81" t="s">
        <v>101</v>
      </c>
      <c r="D11" s="82">
        <v>46180</v>
      </c>
      <c r="E11" s="25"/>
      <c r="F11" s="82">
        <v>2956</v>
      </c>
      <c r="G11" s="25"/>
      <c r="H11" s="3"/>
      <c r="I11" s="3" t="s">
        <v>74</v>
      </c>
      <c r="J11" s="6">
        <f>SUM(J6:J9)</f>
        <v>390772</v>
      </c>
      <c r="K11" s="23"/>
      <c r="L11" s="6">
        <f>SUM(L6:L9)</f>
        <v>593539</v>
      </c>
      <c r="M11" s="23"/>
      <c r="N11" s="3"/>
    </row>
    <row r="12" spans="1:14">
      <c r="A12" s="3"/>
      <c r="B12" s="3"/>
      <c r="C12" s="5" t="s">
        <v>12</v>
      </c>
      <c r="D12" s="14">
        <f>SUM(D6:D11)</f>
        <v>1740631</v>
      </c>
      <c r="E12" s="24">
        <f>D12/D$25</f>
        <v>0.72504721512016845</v>
      </c>
      <c r="F12" s="14">
        <f>SUM(F6:F11)</f>
        <v>1628306</v>
      </c>
      <c r="G12" s="24">
        <f>F12/F$25</f>
        <v>0.65051550057308916</v>
      </c>
      <c r="H12" s="3"/>
      <c r="I12" s="81" t="s">
        <v>71</v>
      </c>
      <c r="J12" s="84">
        <v>629</v>
      </c>
      <c r="K12" s="25"/>
      <c r="L12" s="84">
        <v>629</v>
      </c>
      <c r="M12" s="25"/>
      <c r="N12" s="3"/>
    </row>
    <row r="13" spans="1:14">
      <c r="A13" s="3"/>
      <c r="B13" s="3"/>
      <c r="C13" s="3"/>
      <c r="D13" s="6"/>
      <c r="E13" s="23"/>
      <c r="F13" s="6"/>
      <c r="G13" s="23"/>
      <c r="H13" s="3"/>
      <c r="I13" s="5" t="s">
        <v>2</v>
      </c>
      <c r="J13" s="7">
        <f>J11+J12</f>
        <v>391401</v>
      </c>
      <c r="K13" s="24">
        <f>J13/J$25</f>
        <v>0.16303524701401334</v>
      </c>
      <c r="L13" s="7">
        <f>L11+L12</f>
        <v>594168</v>
      </c>
      <c r="M13" s="24">
        <f>L13/L$25</f>
        <v>0.23737276282499187</v>
      </c>
      <c r="N13" s="3"/>
    </row>
    <row r="14" spans="1:14">
      <c r="A14" s="102"/>
      <c r="D14" s="6"/>
      <c r="E14" s="23"/>
      <c r="F14" s="6"/>
      <c r="G14" s="23"/>
      <c r="H14" s="5"/>
      <c r="I14" s="3" t="s">
        <v>106</v>
      </c>
      <c r="J14" s="80">
        <v>0</v>
      </c>
      <c r="K14" s="22"/>
      <c r="L14" s="80">
        <v>0</v>
      </c>
      <c r="M14" s="22"/>
      <c r="N14" s="3"/>
    </row>
    <row r="15" spans="1:14">
      <c r="A15" s="102"/>
      <c r="B15" s="5"/>
      <c r="C15" s="5" t="s">
        <v>11</v>
      </c>
      <c r="D15" s="6"/>
      <c r="E15" s="23"/>
      <c r="F15" s="6"/>
      <c r="G15" s="23"/>
      <c r="H15" s="3"/>
      <c r="I15" s="3" t="s">
        <v>17</v>
      </c>
      <c r="J15" s="80">
        <v>10661</v>
      </c>
      <c r="K15" s="22"/>
      <c r="L15" s="80">
        <f>11036+1205</f>
        <v>12241</v>
      </c>
      <c r="M15" s="22"/>
      <c r="N15" s="3"/>
    </row>
    <row r="16" spans="1:14">
      <c r="A16" s="102"/>
      <c r="B16" s="3"/>
      <c r="C16" s="3" t="s">
        <v>14</v>
      </c>
      <c r="D16" s="6">
        <v>36692</v>
      </c>
      <c r="E16" s="23"/>
      <c r="F16" s="6">
        <v>30825</v>
      </c>
      <c r="G16" s="23"/>
      <c r="H16" s="5"/>
      <c r="I16" s="3" t="s">
        <v>16</v>
      </c>
      <c r="J16" s="80">
        <f>610463+302783</f>
        <v>913246</v>
      </c>
      <c r="K16" s="22"/>
      <c r="L16" s="80">
        <f>528907+316148</f>
        <v>845055</v>
      </c>
      <c r="M16" s="22"/>
      <c r="N16" s="3"/>
    </row>
    <row r="17" spans="1:14">
      <c r="A17" s="102"/>
      <c r="B17" s="3"/>
      <c r="C17" s="3" t="s">
        <v>102</v>
      </c>
      <c r="D17" s="6">
        <v>283427</v>
      </c>
      <c r="E17" s="24">
        <f>D17/D$25</f>
        <v>0.1180594606437918</v>
      </c>
      <c r="F17" s="6">
        <v>260199</v>
      </c>
      <c r="G17" s="24">
        <f>F17/F$25</f>
        <v>0.10395065960182989</v>
      </c>
      <c r="H17" s="3"/>
      <c r="I17" s="81" t="s">
        <v>107</v>
      </c>
      <c r="J17" s="82">
        <f>31263+58767</f>
        <v>90030</v>
      </c>
      <c r="K17" s="25"/>
      <c r="L17" s="82">
        <f>26164+81610</f>
        <v>107774</v>
      </c>
      <c r="M17" s="25"/>
      <c r="N17" s="3"/>
    </row>
    <row r="18" spans="1:14">
      <c r="A18" s="102"/>
      <c r="B18" s="3"/>
      <c r="C18" s="3" t="s">
        <v>116</v>
      </c>
      <c r="D18" s="6">
        <v>46567</v>
      </c>
      <c r="E18" s="23"/>
      <c r="F18" s="6">
        <v>84362</v>
      </c>
      <c r="G18" s="23"/>
      <c r="H18" s="5"/>
      <c r="I18" s="5" t="s">
        <v>18</v>
      </c>
      <c r="J18" s="14">
        <f>SUM(J14:J17)</f>
        <v>1013937</v>
      </c>
      <c r="K18" s="24">
        <f>J18/J$25</f>
        <v>0.42234810143982165</v>
      </c>
      <c r="L18" s="14">
        <f>SUM(L14:L17)</f>
        <v>965070</v>
      </c>
      <c r="M18" s="24">
        <f>L18/L$25</f>
        <v>0.3855497640726443</v>
      </c>
      <c r="N18" s="3"/>
    </row>
    <row r="19" spans="1:14">
      <c r="A19" s="102"/>
      <c r="B19" s="3"/>
      <c r="C19" s="3" t="s">
        <v>103</v>
      </c>
      <c r="D19" s="6">
        <v>25110</v>
      </c>
      <c r="E19" s="23"/>
      <c r="F19" s="6">
        <v>30751</v>
      </c>
      <c r="G19" s="23"/>
      <c r="H19" s="3"/>
      <c r="I19" s="3" t="s">
        <v>108</v>
      </c>
      <c r="J19" s="80">
        <v>0</v>
      </c>
      <c r="K19" s="22"/>
      <c r="L19" s="80">
        <v>0</v>
      </c>
      <c r="M19" s="22"/>
      <c r="N19" s="3"/>
    </row>
    <row r="20" spans="1:14">
      <c r="A20" s="102"/>
      <c r="B20" s="3"/>
      <c r="C20" s="3" t="s">
        <v>104</v>
      </c>
      <c r="D20" s="6">
        <v>268287</v>
      </c>
      <c r="E20" s="23"/>
      <c r="F20" s="6">
        <v>468658</v>
      </c>
      <c r="G20" s="23"/>
      <c r="H20" s="3"/>
      <c r="I20" s="3" t="s">
        <v>17</v>
      </c>
      <c r="J20" s="80">
        <v>15562</v>
      </c>
      <c r="K20" s="22"/>
      <c r="L20" s="80">
        <v>13350</v>
      </c>
      <c r="M20" s="22"/>
      <c r="N20" s="3"/>
    </row>
    <row r="21" spans="1:14">
      <c r="A21" s="102"/>
      <c r="B21" s="3"/>
      <c r="C21" s="81" t="s">
        <v>105</v>
      </c>
      <c r="D21" s="83">
        <v>0</v>
      </c>
      <c r="E21" s="25"/>
      <c r="F21" s="83">
        <v>0</v>
      </c>
      <c r="G21" s="30"/>
      <c r="H21" s="3"/>
      <c r="I21" s="3" t="s">
        <v>16</v>
      </c>
      <c r="J21" s="80">
        <f>44012+73011</f>
        <v>117023</v>
      </c>
      <c r="K21" s="22"/>
      <c r="L21" s="80">
        <f>122402+62935</f>
        <v>185337</v>
      </c>
      <c r="M21" s="22"/>
      <c r="N21" s="3"/>
    </row>
    <row r="22" spans="1:14">
      <c r="A22" s="102"/>
      <c r="B22" s="3"/>
      <c r="C22" s="5" t="s">
        <v>15</v>
      </c>
      <c r="D22" s="7">
        <f>SUM(D15:D21)</f>
        <v>660083</v>
      </c>
      <c r="E22" s="24">
        <f>D22/D$25</f>
        <v>0.2749527848798316</v>
      </c>
      <c r="F22" s="7">
        <f>SUM(F15:F21)</f>
        <v>874795</v>
      </c>
      <c r="G22" s="24">
        <f>F22/F$25</f>
        <v>0.34948449942691084</v>
      </c>
      <c r="H22" s="3"/>
      <c r="I22" s="3" t="s">
        <v>66</v>
      </c>
      <c r="J22" s="80">
        <f>316121</f>
        <v>316121</v>
      </c>
      <c r="K22" s="24">
        <f>J22/J$25</f>
        <v>0.13167790915535962</v>
      </c>
      <c r="L22" s="80">
        <v>442289</v>
      </c>
      <c r="M22" s="24">
        <f>L22/L$25</f>
        <v>0.17669642575349537</v>
      </c>
      <c r="N22" s="3"/>
    </row>
    <row r="23" spans="1:14">
      <c r="A23" s="102"/>
      <c r="B23" s="3"/>
      <c r="C23" s="5"/>
      <c r="D23" s="7" t="s">
        <v>19</v>
      </c>
      <c r="E23" s="26"/>
      <c r="F23" s="7"/>
      <c r="G23" s="26"/>
      <c r="H23" s="3"/>
      <c r="I23" s="3" t="s">
        <v>65</v>
      </c>
      <c r="J23" s="82">
        <f>8076+236735+45039+256820</f>
        <v>546670</v>
      </c>
      <c r="K23" s="25"/>
      <c r="L23" s="82">
        <f>5611+81960+48079+167237</f>
        <v>302887</v>
      </c>
      <c r="M23" s="25"/>
      <c r="N23" s="3"/>
    </row>
    <row r="24" spans="1:14">
      <c r="A24" s="102"/>
      <c r="B24" s="3"/>
      <c r="C24" s="5"/>
      <c r="D24" s="7"/>
      <c r="E24" s="26"/>
      <c r="F24" s="7"/>
      <c r="G24" s="26"/>
      <c r="H24" s="3"/>
      <c r="I24" s="5" t="s">
        <v>72</v>
      </c>
      <c r="J24" s="14">
        <f>SUM(J19:J23)</f>
        <v>995376</v>
      </c>
      <c r="K24" s="24">
        <f>J24/J$25</f>
        <v>0.414616651546165</v>
      </c>
      <c r="L24" s="14">
        <f>SUM(L19:L23)</f>
        <v>943863</v>
      </c>
      <c r="M24" s="24">
        <f>L24/L$25</f>
        <v>0.37707747310236384</v>
      </c>
      <c r="N24" s="3"/>
    </row>
    <row r="25" spans="1:14">
      <c r="A25" s="3"/>
      <c r="B25" s="3"/>
      <c r="C25" s="8" t="s">
        <v>3</v>
      </c>
      <c r="D25" s="9">
        <f>D12+D22</f>
        <v>2400714</v>
      </c>
      <c r="E25" s="27">
        <f>D25/D$25</f>
        <v>1</v>
      </c>
      <c r="F25" s="9">
        <f>F12+F22</f>
        <v>2503101</v>
      </c>
      <c r="G25" s="27">
        <f>F25/F$25</f>
        <v>1</v>
      </c>
      <c r="H25" s="3"/>
      <c r="I25" s="8" t="s">
        <v>4</v>
      </c>
      <c r="J25" s="9">
        <f>J13+J18+J24</f>
        <v>2400714</v>
      </c>
      <c r="K25" s="27">
        <f>J25/J$25</f>
        <v>1</v>
      </c>
      <c r="L25" s="9">
        <f>L13+L18+L24</f>
        <v>2503101</v>
      </c>
      <c r="M25" s="27">
        <f>L25/L$25</f>
        <v>1</v>
      </c>
      <c r="N25" s="3"/>
    </row>
    <row r="26" spans="1:14">
      <c r="A26" s="3"/>
      <c r="B26" s="3"/>
      <c r="C26" s="3"/>
      <c r="D26" s="6"/>
      <c r="E26" s="23"/>
      <c r="F26" s="6"/>
      <c r="G26" s="21"/>
      <c r="H26" s="3"/>
      <c r="I26" s="3"/>
      <c r="J26" s="4"/>
      <c r="K26" s="22"/>
      <c r="L26" s="4"/>
      <c r="M26" s="21"/>
      <c r="N26" s="3"/>
    </row>
    <row r="27" spans="1:14">
      <c r="A27" s="3"/>
      <c r="B27" s="10"/>
      <c r="C27" s="10"/>
      <c r="D27" s="11"/>
      <c r="E27" s="31"/>
      <c r="F27" s="11" t="s">
        <v>19</v>
      </c>
      <c r="G27" s="21"/>
      <c r="H27" s="3"/>
      <c r="I27" s="3"/>
      <c r="J27" s="3" t="s">
        <v>19</v>
      </c>
      <c r="K27" s="21"/>
      <c r="L27" s="3"/>
      <c r="M27" s="3"/>
      <c r="N27" s="3"/>
    </row>
    <row r="28" spans="1:14">
      <c r="A28" s="3"/>
      <c r="B28" s="12"/>
      <c r="C28" s="12"/>
      <c r="D28" s="12"/>
      <c r="E28" s="32"/>
      <c r="F28" s="12"/>
      <c r="G28" s="21"/>
      <c r="H28" s="3"/>
      <c r="I28" s="3"/>
      <c r="J28" s="3"/>
      <c r="K28" s="21"/>
      <c r="L28" s="3"/>
      <c r="M28" s="3"/>
      <c r="N28" s="3"/>
    </row>
    <row r="29" spans="1:14">
      <c r="A29" s="3"/>
      <c r="B29" s="13"/>
      <c r="C29" s="12"/>
      <c r="D29" s="12"/>
      <c r="E29" s="32"/>
      <c r="F29" s="12"/>
      <c r="G29" s="21"/>
      <c r="H29" s="3"/>
      <c r="I29" s="3"/>
      <c r="J29" s="3"/>
      <c r="K29" s="21"/>
      <c r="L29" s="3"/>
      <c r="M29" s="3"/>
      <c r="N29" s="3"/>
    </row>
    <row r="30" spans="1:14">
      <c r="A30" s="3"/>
      <c r="B30" s="12"/>
      <c r="C30" s="12"/>
      <c r="D30" s="12"/>
      <c r="E30" s="32"/>
      <c r="F30" s="12"/>
      <c r="G30" s="21"/>
      <c r="H30" s="3"/>
      <c r="I30" s="3"/>
      <c r="J30" s="3"/>
      <c r="K30" s="21"/>
      <c r="L30" s="3"/>
      <c r="M30" s="3"/>
      <c r="N30" s="3"/>
    </row>
  </sheetData>
  <mergeCells count="7">
    <mergeCell ref="A14:A16"/>
    <mergeCell ref="A17:A24"/>
    <mergeCell ref="B1:M1"/>
    <mergeCell ref="B2:G2"/>
    <mergeCell ref="B3:C3"/>
    <mergeCell ref="H3:I3"/>
    <mergeCell ref="A3:A10"/>
  </mergeCells>
  <phoneticPr fontId="14" type="noConversion"/>
  <pageMargins left="0.75000000000000011" right="0.75000000000000011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1"/>
  <sheetViews>
    <sheetView workbookViewId="0">
      <selection activeCell="H27" sqref="H27"/>
    </sheetView>
  </sheetViews>
  <sheetFormatPr baseColWidth="10" defaultRowHeight="16"/>
  <cols>
    <col min="1" max="1" width="31.6640625" style="33" customWidth="1"/>
    <col min="2" max="2" width="13.33203125" style="33" customWidth="1"/>
    <col min="3" max="3" width="5.1640625" style="33" customWidth="1"/>
    <col min="4" max="4" width="10.83203125" style="33" customWidth="1"/>
    <col min="5" max="5" width="5" style="33" customWidth="1"/>
    <col min="6" max="6" width="3.6640625" style="33" customWidth="1"/>
    <col min="7" max="7" width="6.1640625" style="33" hidden="1" customWidth="1"/>
  </cols>
  <sheetData>
    <row r="1" spans="1:8" ht="26" thickBot="1">
      <c r="B1" s="59" t="s">
        <v>160</v>
      </c>
    </row>
    <row r="2" spans="1:8" ht="38" thickBot="1">
      <c r="A2" s="60" t="s">
        <v>5</v>
      </c>
      <c r="B2" s="61" t="s">
        <v>56</v>
      </c>
      <c r="C2" s="61"/>
      <c r="D2" s="62" t="s">
        <v>159</v>
      </c>
      <c r="E2" s="19"/>
      <c r="G2" s="63" t="s">
        <v>9</v>
      </c>
    </row>
    <row r="3" spans="1:8">
      <c r="A3" s="64"/>
      <c r="B3" s="65"/>
      <c r="C3" s="65"/>
      <c r="D3" s="65"/>
      <c r="E3" s="19"/>
    </row>
    <row r="4" spans="1:8" ht="15" customHeight="1">
      <c r="A4" s="71" t="s">
        <v>20</v>
      </c>
      <c r="B4" s="72">
        <v>3400692</v>
      </c>
      <c r="C4" s="72"/>
      <c r="D4" s="72">
        <v>2536500</v>
      </c>
      <c r="E4" s="19"/>
      <c r="G4" s="51">
        <f>B4/(D4)-1</f>
        <v>0.34070254287403912</v>
      </c>
      <c r="H4" s="110">
        <f>B4/D4-1</f>
        <v>0.34070254287403912</v>
      </c>
    </row>
    <row r="5" spans="1:8">
      <c r="A5" s="71" t="s">
        <v>21</v>
      </c>
      <c r="B5" s="72">
        <v>38621</v>
      </c>
      <c r="C5" s="72"/>
      <c r="D5" s="72">
        <v>14575</v>
      </c>
      <c r="E5" s="19"/>
      <c r="G5" s="51"/>
    </row>
    <row r="6" spans="1:8">
      <c r="A6" s="71" t="s">
        <v>22</v>
      </c>
      <c r="B6" s="72">
        <v>0</v>
      </c>
      <c r="C6" s="72"/>
      <c r="D6" s="72">
        <v>0</v>
      </c>
      <c r="E6" s="19"/>
      <c r="G6" s="51"/>
    </row>
    <row r="7" spans="1:8">
      <c r="A7" s="71" t="s">
        <v>23</v>
      </c>
      <c r="B7" s="72">
        <v>0</v>
      </c>
      <c r="C7" s="72"/>
      <c r="D7" s="72">
        <v>0</v>
      </c>
      <c r="E7" s="19"/>
      <c r="G7" s="51"/>
    </row>
    <row r="8" spans="1:8">
      <c r="A8" s="71" t="s">
        <v>8</v>
      </c>
      <c r="B8" s="73">
        <f>SUM(B4:B7)</f>
        <v>3439313</v>
      </c>
      <c r="C8" s="74">
        <f>B8/B$8</f>
        <v>1</v>
      </c>
      <c r="D8" s="73">
        <f>SUM(D4:D7)</f>
        <v>2551075</v>
      </c>
      <c r="E8" s="16">
        <f>D8/D$8</f>
        <v>1</v>
      </c>
      <c r="G8" s="51">
        <f>B8/(D8)-1</f>
        <v>0.348181844908519</v>
      </c>
      <c r="H8" s="110">
        <f>B8/D8-1</f>
        <v>0.348181844908519</v>
      </c>
    </row>
    <row r="9" spans="1:8">
      <c r="A9" s="64"/>
      <c r="B9" s="66"/>
      <c r="C9" s="15"/>
      <c r="D9" s="66"/>
      <c r="E9" s="15"/>
      <c r="G9" s="51"/>
    </row>
    <row r="10" spans="1:8">
      <c r="A10" s="75" t="s">
        <v>59</v>
      </c>
      <c r="B10" s="76">
        <v>-2359845</v>
      </c>
      <c r="C10" s="77">
        <f>B10/B$8</f>
        <v>-0.68613848172585634</v>
      </c>
      <c r="D10" s="76">
        <v>-1736435</v>
      </c>
      <c r="E10" s="17">
        <f>D10/D$8</f>
        <v>-0.6806679537057907</v>
      </c>
      <c r="G10" s="51">
        <f>B10/(D10)-1</f>
        <v>0.35901718175457176</v>
      </c>
    </row>
    <row r="11" spans="1:8">
      <c r="A11" s="64"/>
      <c r="B11" s="66"/>
      <c r="C11" s="15"/>
      <c r="D11" s="66"/>
      <c r="E11" s="15"/>
      <c r="G11" s="51"/>
    </row>
    <row r="12" spans="1:8">
      <c r="A12" s="67" t="s">
        <v>58</v>
      </c>
      <c r="B12" s="68">
        <f>SUM(B8:B10)</f>
        <v>1079468</v>
      </c>
      <c r="C12" s="17">
        <f>B12/B$8</f>
        <v>0.31386151827414371</v>
      </c>
      <c r="D12" s="68">
        <f>SUM(D8:D10)</f>
        <v>814640</v>
      </c>
      <c r="E12" s="17">
        <f>D12/D$8</f>
        <v>0.3193320462942093</v>
      </c>
      <c r="G12" s="51">
        <f>B12/(D12)-1</f>
        <v>0.32508592752626919</v>
      </c>
    </row>
    <row r="13" spans="1:8">
      <c r="A13" s="64"/>
      <c r="B13" s="66"/>
      <c r="C13" s="15"/>
      <c r="D13" s="66"/>
      <c r="E13" s="15"/>
      <c r="G13" s="51"/>
      <c r="H13" t="s">
        <v>19</v>
      </c>
    </row>
    <row r="14" spans="1:8">
      <c r="A14" s="71" t="s">
        <v>24</v>
      </c>
      <c r="B14" s="72">
        <v>-446264</v>
      </c>
      <c r="C14" s="77">
        <f>B14/B$8</f>
        <v>-0.12975382002161479</v>
      </c>
      <c r="D14" s="72">
        <v>-311802</v>
      </c>
      <c r="E14" s="17">
        <f>D14/D$8</f>
        <v>-0.122223768411356</v>
      </c>
      <c r="G14" s="51">
        <f>(B14/(D14)-1)</f>
        <v>0.43124162128530275</v>
      </c>
    </row>
    <row r="15" spans="1:8" ht="15" customHeight="1">
      <c r="A15" s="71" t="s">
        <v>25</v>
      </c>
      <c r="B15" s="72">
        <v>-103142</v>
      </c>
      <c r="C15" s="77">
        <f>B15/B$8</f>
        <v>-2.9989128642842335E-2</v>
      </c>
      <c r="D15" s="72">
        <v>-93772</v>
      </c>
      <c r="E15" s="17">
        <f>D15/D$8</f>
        <v>-3.6757837382280022E-2</v>
      </c>
      <c r="G15" s="51">
        <f>B15/(D15)-1</f>
        <v>9.9923218018171722E-2</v>
      </c>
    </row>
    <row r="16" spans="1:8">
      <c r="A16" s="71" t="s">
        <v>26</v>
      </c>
      <c r="B16" s="72">
        <v>-515897</v>
      </c>
      <c r="C16" s="77">
        <f>B16/B$8</f>
        <v>-0.15000001453778705</v>
      </c>
      <c r="D16" s="72">
        <v>-387647</v>
      </c>
      <c r="E16" s="17">
        <f>D16/D$8</f>
        <v>-0.15195437217643543</v>
      </c>
      <c r="G16" s="51">
        <f>(B16/(D16)-1)*-1</f>
        <v>-0.33084223533266099</v>
      </c>
    </row>
    <row r="17" spans="1:8">
      <c r="A17" s="64"/>
      <c r="B17" s="66"/>
      <c r="C17" s="15"/>
      <c r="D17" s="66"/>
      <c r="E17" s="15"/>
      <c r="G17" s="51"/>
    </row>
    <row r="18" spans="1:8" ht="24">
      <c r="A18" s="67" t="s">
        <v>43</v>
      </c>
      <c r="B18" s="68">
        <f>SUM(B12:B16)</f>
        <v>14165</v>
      </c>
      <c r="C18" s="17">
        <f>B18/B$8</f>
        <v>4.1185550718995335E-3</v>
      </c>
      <c r="D18" s="68">
        <f>SUM(D12:D16)</f>
        <v>21419</v>
      </c>
      <c r="E18" s="17">
        <f>D18/D$8</f>
        <v>8.3960683241378637E-3</v>
      </c>
      <c r="G18" s="51">
        <f>B18/(D18)-1</f>
        <v>-0.33867127316868206</v>
      </c>
    </row>
    <row r="19" spans="1:8">
      <c r="A19" s="64"/>
      <c r="B19" s="66"/>
      <c r="C19" s="15"/>
      <c r="D19" s="66"/>
      <c r="E19" s="15"/>
      <c r="G19" s="51"/>
    </row>
    <row r="20" spans="1:8" ht="15" customHeight="1">
      <c r="A20" s="78" t="s">
        <v>60</v>
      </c>
      <c r="B20" s="79">
        <v>-9</v>
      </c>
      <c r="C20" s="72"/>
      <c r="D20" s="79">
        <v>791</v>
      </c>
      <c r="E20" s="15"/>
      <c r="G20" s="51"/>
    </row>
    <row r="21" spans="1:8">
      <c r="A21" s="78" t="s">
        <v>61</v>
      </c>
      <c r="B21" s="79">
        <v>12561</v>
      </c>
      <c r="C21" s="72"/>
      <c r="D21" s="79">
        <v>13851</v>
      </c>
      <c r="E21" s="15"/>
      <c r="G21" s="51">
        <f>B21/(D21)-1</f>
        <v>-9.3134069742256909E-2</v>
      </c>
    </row>
    <row r="22" spans="1:8">
      <c r="A22" s="78" t="s">
        <v>62</v>
      </c>
      <c r="B22" s="79">
        <v>-55533</v>
      </c>
      <c r="C22" s="72"/>
      <c r="D22" s="79">
        <v>-49624</v>
      </c>
      <c r="E22" s="15"/>
      <c r="G22" s="51">
        <f>(B22/(D22)-1)*-1</f>
        <v>-0.11907544736417863</v>
      </c>
    </row>
    <row r="23" spans="1:8">
      <c r="A23" s="78" t="s">
        <v>63</v>
      </c>
      <c r="B23" s="79">
        <v>-28989</v>
      </c>
      <c r="C23" s="72"/>
      <c r="D23" s="79">
        <v>225</v>
      </c>
      <c r="E23" s="15"/>
      <c r="G23" s="51" t="s">
        <v>19</v>
      </c>
    </row>
    <row r="24" spans="1:8">
      <c r="A24" s="64"/>
      <c r="B24" s="66"/>
      <c r="C24" s="15"/>
      <c r="D24" s="66"/>
      <c r="E24" s="15"/>
      <c r="G24" s="51"/>
    </row>
    <row r="25" spans="1:8">
      <c r="A25" s="67" t="s">
        <v>27</v>
      </c>
      <c r="B25" s="68">
        <f>SUM(B20:B24)</f>
        <v>-71970</v>
      </c>
      <c r="C25" s="17">
        <f>B25/B$8</f>
        <v>-2.0925690682993957E-2</v>
      </c>
      <c r="D25" s="68">
        <f>SUM(D20:D24)</f>
        <v>-34757</v>
      </c>
      <c r="E25" s="17">
        <f>D25/D$8</f>
        <v>-1.3624452436717855E-2</v>
      </c>
      <c r="G25" s="51">
        <f>(B25/(D25)-1)*-1</f>
        <v>-1.0706620249158445</v>
      </c>
    </row>
    <row r="26" spans="1:8">
      <c r="A26" s="64"/>
      <c r="B26" s="66"/>
      <c r="C26" s="15"/>
      <c r="D26" s="66"/>
      <c r="E26" s="15"/>
      <c r="G26" s="51"/>
    </row>
    <row r="27" spans="1:8">
      <c r="A27" s="67" t="s">
        <v>50</v>
      </c>
      <c r="B27" s="68">
        <f>B18+B25</f>
        <v>-57805</v>
      </c>
      <c r="C27" s="17">
        <f>B27/B$8</f>
        <v>-1.6807135611094426E-2</v>
      </c>
      <c r="D27" s="68">
        <f>D18+D25</f>
        <v>-13338</v>
      </c>
      <c r="E27" s="17">
        <f>D27/D$8</f>
        <v>-5.2283841125799905E-3</v>
      </c>
      <c r="G27" s="51">
        <f>B27/(D27)-1</f>
        <v>3.3338581496476234</v>
      </c>
      <c r="H27" s="110">
        <f>B27/D27-1</f>
        <v>3.3338581496476234</v>
      </c>
    </row>
    <row r="28" spans="1:8">
      <c r="A28" s="69"/>
      <c r="B28" s="18"/>
      <c r="C28" s="18"/>
      <c r="D28" s="18"/>
      <c r="E28" s="18"/>
      <c r="G28" s="51"/>
    </row>
    <row r="29" spans="1:8">
      <c r="A29" s="71" t="s">
        <v>28</v>
      </c>
      <c r="B29" s="72">
        <v>-17214</v>
      </c>
      <c r="C29" s="72"/>
      <c r="D29" s="72">
        <v>34315</v>
      </c>
      <c r="E29" s="15"/>
      <c r="G29" s="51"/>
    </row>
    <row r="30" spans="1:8">
      <c r="A30" s="64"/>
      <c r="B30" s="66"/>
      <c r="C30" s="15"/>
      <c r="D30" s="66"/>
      <c r="E30" s="15"/>
      <c r="G30" s="51"/>
    </row>
    <row r="31" spans="1:8">
      <c r="A31" s="67" t="s">
        <v>31</v>
      </c>
      <c r="B31" s="68">
        <f>SUM(B27:B29)</f>
        <v>-75019</v>
      </c>
      <c r="C31" s="17">
        <f>B31/B$8</f>
        <v>-2.1812204937439541E-2</v>
      </c>
      <c r="D31" s="68">
        <f>SUM(D27:D29)</f>
        <v>20977</v>
      </c>
      <c r="E31" s="17">
        <f>D31/D$8</f>
        <v>8.2228080319081166E-3</v>
      </c>
      <c r="G31" s="51">
        <f>B31/(D31)-1</f>
        <v>-4.5762501787672214</v>
      </c>
    </row>
    <row r="32" spans="1:8">
      <c r="A32" s="64"/>
      <c r="B32" s="66"/>
      <c r="C32" s="15"/>
      <c r="D32" s="66"/>
      <c r="E32" s="15"/>
      <c r="G32" s="51" t="s">
        <v>19</v>
      </c>
    </row>
    <row r="33" spans="1:7">
      <c r="A33" s="71" t="s">
        <v>29</v>
      </c>
      <c r="B33" s="72">
        <v>0</v>
      </c>
      <c r="C33" s="72"/>
      <c r="D33" s="72">
        <v>0</v>
      </c>
      <c r="E33" s="15"/>
      <c r="G33" s="51"/>
    </row>
    <row r="34" spans="1:7">
      <c r="A34" s="71" t="s">
        <v>30</v>
      </c>
      <c r="B34" s="72">
        <v>0</v>
      </c>
      <c r="C34" s="72"/>
      <c r="D34" s="72">
        <v>0</v>
      </c>
      <c r="E34" s="15"/>
      <c r="G34" s="51"/>
    </row>
    <row r="35" spans="1:7">
      <c r="A35" s="64"/>
      <c r="B35" s="64" t="s">
        <v>19</v>
      </c>
      <c r="C35" s="64"/>
      <c r="D35" s="64" t="s">
        <v>19</v>
      </c>
      <c r="E35" s="64"/>
      <c r="F35" s="64"/>
      <c r="G35" s="64"/>
    </row>
    <row r="36" spans="1:7">
      <c r="A36" s="64"/>
      <c r="B36" s="64"/>
      <c r="C36" s="64"/>
      <c r="D36" s="64"/>
      <c r="E36" s="64"/>
      <c r="F36" s="64"/>
      <c r="G36" s="64"/>
    </row>
    <row r="37" spans="1:7">
      <c r="A37" s="64"/>
      <c r="B37" s="64"/>
      <c r="C37" s="64"/>
      <c r="D37" s="64"/>
      <c r="E37" s="64"/>
      <c r="F37" s="64"/>
      <c r="G37" s="64"/>
    </row>
    <row r="38" spans="1:7">
      <c r="A38" s="64"/>
      <c r="B38" s="64"/>
      <c r="C38" s="64"/>
      <c r="D38" s="64"/>
      <c r="E38" s="64"/>
      <c r="F38" s="64"/>
      <c r="G38" s="64"/>
    </row>
    <row r="39" spans="1:7">
      <c r="A39" s="64"/>
      <c r="B39" s="64"/>
      <c r="C39" s="64"/>
      <c r="D39" s="64"/>
      <c r="E39" s="64"/>
      <c r="F39" s="64"/>
      <c r="G39" s="64"/>
    </row>
    <row r="40" spans="1:7">
      <c r="A40" s="64"/>
      <c r="B40" s="64"/>
      <c r="C40" s="64"/>
      <c r="D40" s="64"/>
      <c r="E40" s="64"/>
      <c r="F40" s="64"/>
      <c r="G40" s="64"/>
    </row>
    <row r="41" spans="1:7">
      <c r="A41" s="64"/>
      <c r="B41" s="64"/>
      <c r="C41" s="64"/>
      <c r="D41" s="64"/>
      <c r="E41" s="64"/>
      <c r="F41" s="64"/>
      <c r="G41" s="64"/>
    </row>
    <row r="42" spans="1:7">
      <c r="A42" s="64"/>
      <c r="B42" s="64"/>
      <c r="C42" s="64"/>
      <c r="D42" s="64"/>
      <c r="E42" s="64"/>
      <c r="F42" s="64"/>
      <c r="G42" s="64"/>
    </row>
    <row r="43" spans="1:7">
      <c r="A43" s="64"/>
      <c r="B43" s="64"/>
      <c r="C43" s="64"/>
      <c r="D43" s="64"/>
      <c r="E43" s="64"/>
      <c r="F43" s="64"/>
      <c r="G43" s="64"/>
    </row>
    <row r="44" spans="1:7">
      <c r="A44" s="64"/>
      <c r="B44" s="64"/>
      <c r="C44" s="64"/>
      <c r="D44" s="64"/>
      <c r="E44" s="64"/>
      <c r="F44" s="64"/>
      <c r="G44" s="64"/>
    </row>
    <row r="45" spans="1:7">
      <c r="A45" s="64"/>
      <c r="B45" s="19"/>
      <c r="C45" s="19"/>
      <c r="D45" s="19"/>
      <c r="E45" s="19"/>
    </row>
    <row r="46" spans="1:7">
      <c r="A46" s="64"/>
      <c r="B46" s="19"/>
      <c r="C46" s="19"/>
      <c r="D46" s="19"/>
      <c r="E46" s="19"/>
    </row>
    <row r="47" spans="1:7">
      <c r="A47" s="64"/>
      <c r="B47" s="19"/>
      <c r="C47" s="19"/>
      <c r="D47" s="19"/>
      <c r="E47" s="19"/>
    </row>
    <row r="48" spans="1:7">
      <c r="A48" s="64"/>
      <c r="B48" s="19"/>
      <c r="C48" s="19"/>
      <c r="D48" s="19"/>
      <c r="E48" s="19"/>
    </row>
    <row r="49" spans="1:5">
      <c r="A49" s="64"/>
      <c r="B49" s="19"/>
      <c r="C49" s="19"/>
      <c r="D49" s="19"/>
      <c r="E49" s="19"/>
    </row>
    <row r="50" spans="1:5">
      <c r="A50" s="64"/>
      <c r="B50" s="19"/>
      <c r="C50" s="19"/>
      <c r="D50" s="19"/>
      <c r="E50" s="19"/>
    </row>
    <row r="51" spans="1:5">
      <c r="A51" s="64"/>
      <c r="B51" s="19"/>
      <c r="C51" s="19"/>
      <c r="D51" s="19"/>
      <c r="E51" s="19"/>
    </row>
  </sheetData>
  <phoneticPr fontId="14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34"/>
  <sheetViews>
    <sheetView tabSelected="1" topLeftCell="A14" zoomScale="150" zoomScaleNormal="150" zoomScalePageLayoutView="150" workbookViewId="0">
      <selection activeCell="A44" sqref="A44"/>
    </sheetView>
  </sheetViews>
  <sheetFormatPr baseColWidth="10" defaultRowHeight="16"/>
  <cols>
    <col min="1" max="1" width="19.6640625" style="33" customWidth="1"/>
    <col min="2" max="2" width="12.33203125" style="33" customWidth="1"/>
    <col min="3" max="3" width="7.1640625" style="33" customWidth="1"/>
    <col min="4" max="7" width="10.83203125" style="33"/>
  </cols>
  <sheetData>
    <row r="1" spans="1:7">
      <c r="A1" s="33" t="s">
        <v>82</v>
      </c>
      <c r="B1" s="33" t="s">
        <v>167</v>
      </c>
    </row>
    <row r="2" spans="1:7">
      <c r="A2" s="38">
        <v>1</v>
      </c>
      <c r="B2" s="36" t="s">
        <v>20</v>
      </c>
      <c r="C2" s="39">
        <f>'GuV Air Berlin'!G4</f>
        <v>0.34070254287403912</v>
      </c>
      <c r="D2" s="36" t="s">
        <v>161</v>
      </c>
      <c r="G2" s="33">
        <v>2</v>
      </c>
    </row>
    <row r="3" spans="1:7">
      <c r="A3" s="38">
        <v>2</v>
      </c>
      <c r="B3" s="36" t="s">
        <v>24</v>
      </c>
      <c r="C3" s="39">
        <f>'GuV Air Berlin'!G14</f>
        <v>0.43124162128530275</v>
      </c>
      <c r="D3" s="36" t="s">
        <v>110</v>
      </c>
    </row>
    <row r="4" spans="1:7">
      <c r="A4" s="38">
        <v>3</v>
      </c>
      <c r="B4" s="36" t="s">
        <v>109</v>
      </c>
      <c r="C4" s="39">
        <f>'GuV Air Berlin'!G27</f>
        <v>3.3338581496476234</v>
      </c>
      <c r="D4" s="36" t="s">
        <v>162</v>
      </c>
    </row>
    <row r="5" spans="1:7">
      <c r="A5" s="36">
        <v>4</v>
      </c>
      <c r="B5" s="36" t="s">
        <v>6</v>
      </c>
      <c r="C5" s="58">
        <f>('Bilanz Air Berlin'!D7/'Bilanz Air Berlin'!F7)-1</f>
        <v>5.5111705618929641E-2</v>
      </c>
      <c r="D5" s="36" t="s">
        <v>163</v>
      </c>
    </row>
    <row r="6" spans="1:7">
      <c r="A6" s="36">
        <v>5</v>
      </c>
      <c r="B6" s="36" t="s">
        <v>67</v>
      </c>
      <c r="C6" s="58">
        <f>('Bilanz Air Berlin'!J13/'Bilanz Air Berlin'!L13)-1</f>
        <v>-0.34126206729409869</v>
      </c>
      <c r="D6" s="36" t="s">
        <v>164</v>
      </c>
    </row>
    <row r="7" spans="1:7">
      <c r="A7" s="36"/>
      <c r="B7" s="36"/>
      <c r="C7" s="58"/>
      <c r="D7" s="36"/>
    </row>
    <row r="9" spans="1:7">
      <c r="A9" s="37" t="s">
        <v>75</v>
      </c>
      <c r="B9" s="40">
        <f>'Bilanz Air Berlin'!D12/'Bilanz Air Berlin'!D25</f>
        <v>0.72504721512016845</v>
      </c>
      <c r="C9" s="36"/>
      <c r="D9" s="36"/>
    </row>
    <row r="10" spans="1:7">
      <c r="A10" s="36" t="s">
        <v>45</v>
      </c>
      <c r="B10" s="36"/>
      <c r="C10" s="36"/>
      <c r="D10" s="36"/>
    </row>
    <row r="11" spans="1:7">
      <c r="A11" s="36" t="s">
        <v>111</v>
      </c>
    </row>
    <row r="12" spans="1:7">
      <c r="A12" s="36" t="s">
        <v>83</v>
      </c>
    </row>
    <row r="13" spans="1:7">
      <c r="A13" s="37" t="s">
        <v>77</v>
      </c>
      <c r="B13" s="37" t="s">
        <v>51</v>
      </c>
      <c r="C13" s="41">
        <f>'GuV Air Berlin'!B27+'GuV Air Berlin'!B15*-1</f>
        <v>45337</v>
      </c>
      <c r="D13" s="36"/>
      <c r="G13" s="33">
        <v>2</v>
      </c>
    </row>
    <row r="14" spans="1:7">
      <c r="A14" s="36" t="s">
        <v>49</v>
      </c>
      <c r="B14" s="36"/>
      <c r="C14" s="36"/>
      <c r="D14" s="36"/>
    </row>
    <row r="15" spans="1:7">
      <c r="A15" s="36" t="s">
        <v>48</v>
      </c>
    </row>
    <row r="17" spans="1:7">
      <c r="A17" s="36" t="s">
        <v>84</v>
      </c>
    </row>
    <row r="18" spans="1:7">
      <c r="A18" s="37" t="s">
        <v>78</v>
      </c>
      <c r="B18" s="37"/>
      <c r="C18" s="37"/>
      <c r="D18" s="42" t="s">
        <v>44</v>
      </c>
    </row>
    <row r="19" spans="1:7">
      <c r="A19" s="43" t="s">
        <v>32</v>
      </c>
      <c r="B19" s="43" t="s">
        <v>36</v>
      </c>
      <c r="C19" s="44">
        <f>'Bilanz Air Berlin'!J13/'Bilanz Air Berlin'!J25</f>
        <v>0.16303524701401334</v>
      </c>
      <c r="D19" s="45">
        <v>3</v>
      </c>
      <c r="G19" s="33">
        <v>3</v>
      </c>
    </row>
    <row r="20" spans="1:7">
      <c r="A20" s="43" t="s">
        <v>33</v>
      </c>
      <c r="B20" s="43" t="s">
        <v>37</v>
      </c>
      <c r="C20" s="46">
        <f>('Bilanz Air Berlin'!J24+'Bilanz Air Berlin'!J18-'Bilanz Air Berlin'!D20)/'Analyse Air Berlin'!C13</f>
        <v>38.401879259765757</v>
      </c>
      <c r="D20" s="45">
        <v>5</v>
      </c>
      <c r="G20" s="33">
        <v>3</v>
      </c>
    </row>
    <row r="21" spans="1:7">
      <c r="A21" s="43" t="s">
        <v>34</v>
      </c>
      <c r="B21" s="43" t="s">
        <v>38</v>
      </c>
      <c r="C21" s="44">
        <f>C13/'GuV Air Berlin'!B4</f>
        <v>1.3331698371978409E-2</v>
      </c>
      <c r="D21" s="85">
        <v>4</v>
      </c>
      <c r="G21" s="33">
        <v>3</v>
      </c>
    </row>
    <row r="22" spans="1:7">
      <c r="A22" s="43" t="s">
        <v>35</v>
      </c>
      <c r="B22" s="43" t="s">
        <v>39</v>
      </c>
      <c r="C22" s="47">
        <f>('GuV Air Berlin'!B27+'GuV Air Berlin'!B22*-1)/'Bilanz Air Berlin'!J25</f>
        <v>-9.4638511709433108E-4</v>
      </c>
      <c r="D22" s="48">
        <v>5</v>
      </c>
      <c r="G22" s="33">
        <v>3</v>
      </c>
    </row>
    <row r="23" spans="1:7">
      <c r="A23" s="36"/>
    </row>
    <row r="24" spans="1:7">
      <c r="A24" s="36"/>
    </row>
    <row r="25" spans="1:7">
      <c r="A25" s="36"/>
    </row>
    <row r="26" spans="1:7">
      <c r="A26" s="36"/>
    </row>
    <row r="27" spans="1:7">
      <c r="A27" s="36"/>
    </row>
    <row r="28" spans="1:7">
      <c r="A28" s="36"/>
    </row>
    <row r="29" spans="1:7">
      <c r="A29" s="36" t="s">
        <v>119</v>
      </c>
      <c r="C29" s="33">
        <v>2015</v>
      </c>
      <c r="D29" s="33">
        <v>2014</v>
      </c>
    </row>
    <row r="30" spans="1:7">
      <c r="A30" s="37" t="s">
        <v>73</v>
      </c>
      <c r="B30" s="37" t="s">
        <v>52</v>
      </c>
      <c r="C30" s="40">
        <f>'GuV Air Berlin'!B18/'GuV Air Berlin'!B4</f>
        <v>4.1653287036873673E-3</v>
      </c>
      <c r="D30" s="40">
        <f>'GuV Air Berlin'!D18/'GuV Air Berlin'!D4</f>
        <v>8.4443130297654247E-3</v>
      </c>
      <c r="G30" s="33">
        <v>2</v>
      </c>
    </row>
    <row r="31" spans="1:7">
      <c r="A31" s="36" t="s">
        <v>53</v>
      </c>
      <c r="B31" s="36"/>
      <c r="C31" s="36"/>
    </row>
    <row r="32" spans="1:7">
      <c r="A32" s="37" t="s">
        <v>54</v>
      </c>
      <c r="B32" s="35"/>
      <c r="C32" s="49">
        <f>'GuV Air Berlin'!B18+(-'GuV Air Berlin'!B15)</f>
        <v>117307</v>
      </c>
      <c r="D32" s="49">
        <f>'GuV Air Berlin'!D18+(-'GuV Air Berlin'!D15)</f>
        <v>115191</v>
      </c>
      <c r="G32" s="33">
        <v>2</v>
      </c>
    </row>
    <row r="33" spans="1:8">
      <c r="A33" s="36"/>
    </row>
    <row r="34" spans="1:8">
      <c r="A34" s="36" t="s">
        <v>120</v>
      </c>
      <c r="C34" s="33">
        <v>2015</v>
      </c>
      <c r="D34" s="33">
        <v>2014</v>
      </c>
    </row>
    <row r="35" spans="1:8">
      <c r="A35" s="37" t="s">
        <v>76</v>
      </c>
      <c r="B35" s="37" t="s">
        <v>40</v>
      </c>
      <c r="C35" s="49">
        <f>'Bilanz Air Berlin'!D22-'Bilanz Air Berlin'!J24</f>
        <v>-335293</v>
      </c>
      <c r="D35" s="50">
        <f>'Bilanz Air Berlin'!F22-'Bilanz Air Berlin'!L24</f>
        <v>-69068</v>
      </c>
      <c r="G35" s="33">
        <v>2</v>
      </c>
    </row>
    <row r="36" spans="1:8">
      <c r="A36" s="36" t="s">
        <v>46</v>
      </c>
      <c r="B36" s="36"/>
      <c r="C36" s="36"/>
      <c r="D36" s="36"/>
    </row>
    <row r="37" spans="1:8">
      <c r="A37" s="36" t="s">
        <v>112</v>
      </c>
    </row>
    <row r="39" spans="1:8">
      <c r="A39" s="36"/>
      <c r="C39" s="33">
        <v>2015</v>
      </c>
      <c r="D39" s="33">
        <v>2014</v>
      </c>
    </row>
    <row r="40" spans="1:8">
      <c r="A40" s="37" t="s">
        <v>79</v>
      </c>
      <c r="B40" s="37" t="s">
        <v>80</v>
      </c>
      <c r="C40" s="40">
        <f>('Bilanz Air Berlin'!D20+'Bilanz Air Berlin'!D19+'Bilanz Air Berlin'!D18+'Bilanz Air Berlin'!D17)/'Bilanz Air Berlin'!J24</f>
        <v>0.62628695086078023</v>
      </c>
      <c r="D40" s="40">
        <f>('Bilanz Air Berlin'!F17+'Bilanz Air Berlin'!F18+'Bilanz Air Berlin'!F19+'Bilanz Air Berlin'!F20)/'Bilanz Air Berlin'!L24</f>
        <v>0.8941657846530694</v>
      </c>
    </row>
    <row r="41" spans="1:8">
      <c r="A41" s="36" t="s">
        <v>81</v>
      </c>
      <c r="B41" s="36"/>
      <c r="C41" s="36"/>
      <c r="D41" s="36"/>
    </row>
    <row r="42" spans="1:8">
      <c r="A42" s="36" t="s">
        <v>113</v>
      </c>
    </row>
    <row r="43" spans="1:8">
      <c r="A43" s="36" t="s">
        <v>121</v>
      </c>
    </row>
    <row r="44" spans="1:8">
      <c r="A44" s="37" t="s">
        <v>42</v>
      </c>
      <c r="B44" s="37" t="s">
        <v>41</v>
      </c>
      <c r="C44" s="40">
        <f>('Bilanz Air Berlin'!J13+'Bilanz Air Berlin'!J18)/'Bilanz Air Berlin'!D12</f>
        <v>0.80737272862542375</v>
      </c>
      <c r="D44" s="36"/>
      <c r="G44" s="33">
        <v>2</v>
      </c>
    </row>
    <row r="45" spans="1:8">
      <c r="A45" s="36" t="s">
        <v>47</v>
      </c>
      <c r="B45" s="36"/>
      <c r="C45" s="36"/>
      <c r="D45" s="36"/>
      <c r="H45">
        <f>SUM(G1:G44)</f>
        <v>24</v>
      </c>
    </row>
    <row r="46" spans="1:8">
      <c r="A46" s="36" t="s">
        <v>114</v>
      </c>
    </row>
    <row r="48" spans="1:8">
      <c r="A48" s="36" t="s">
        <v>122</v>
      </c>
    </row>
    <row r="49" spans="1:7">
      <c r="A49" s="52" t="s">
        <v>67</v>
      </c>
      <c r="B49" s="86"/>
      <c r="D49" s="95" t="s">
        <v>130</v>
      </c>
      <c r="E49" s="96" t="s">
        <v>131</v>
      </c>
      <c r="F49" s="96" t="s">
        <v>132</v>
      </c>
    </row>
    <row r="50" spans="1:7">
      <c r="A50" s="89" t="str">
        <f>'Bilanz Air Berlin'!I6</f>
        <v>Grundkaptial</v>
      </c>
      <c r="B50" s="90">
        <f>'Bilanz Air Berlin'!J6</f>
        <v>16502</v>
      </c>
      <c r="D50" s="96" t="s">
        <v>133</v>
      </c>
      <c r="E50" s="97" t="s">
        <v>134</v>
      </c>
      <c r="F50" s="97" t="s">
        <v>135</v>
      </c>
      <c r="G50" s="33">
        <v>4</v>
      </c>
    </row>
    <row r="51" spans="1:7">
      <c r="A51" s="87" t="str">
        <f>'Bilanz Air Berlin'!I7</f>
        <v>Kapitalrücklagen</v>
      </c>
      <c r="B51" s="15">
        <f>'Bilanz Air Berlin'!J7</f>
        <v>307501</v>
      </c>
      <c r="D51" s="96" t="s">
        <v>136</v>
      </c>
      <c r="E51" s="97" t="s">
        <v>137</v>
      </c>
      <c r="F51" s="97" t="s">
        <v>138</v>
      </c>
    </row>
    <row r="52" spans="1:7">
      <c r="A52" s="87" t="str">
        <f>'Bilanz Air Berlin'!I8</f>
        <v>Sonstige Rücklagen</v>
      </c>
      <c r="B52" s="15">
        <f>'Bilanz Air Berlin'!J8</f>
        <v>110042</v>
      </c>
      <c r="E52" s="33" t="s">
        <v>139</v>
      </c>
      <c r="F52" s="33" t="s">
        <v>140</v>
      </c>
    </row>
    <row r="53" spans="1:7" ht="22">
      <c r="A53" s="91" t="str">
        <f>'Bilanz Air Berlin'!I9</f>
        <v>Einbehaltene Ergebnisse</v>
      </c>
      <c r="B53" s="92">
        <f>'Bilanz Air Berlin'!J9</f>
        <v>-43273</v>
      </c>
      <c r="C53" s="58">
        <f>B53/B$69</f>
        <v>-1.8025054213038287E-2</v>
      </c>
      <c r="E53" s="98" t="s">
        <v>141</v>
      </c>
      <c r="F53" s="98" t="s">
        <v>142</v>
      </c>
      <c r="G53" s="33">
        <v>2</v>
      </c>
    </row>
    <row r="54" spans="1:7">
      <c r="A54" s="87">
        <f>'Bilanz Air Berlin'!I10</f>
        <v>0</v>
      </c>
      <c r="B54" s="15">
        <f>'Bilanz Air Berlin'!J10</f>
        <v>0</v>
      </c>
      <c r="C54" s="36"/>
      <c r="E54" s="33" t="s">
        <v>143</v>
      </c>
      <c r="F54" s="33" t="s">
        <v>144</v>
      </c>
    </row>
    <row r="55" spans="1:7" ht="22">
      <c r="A55" s="87" t="str">
        <f>'Bilanz Air Berlin'!I11</f>
        <v>Gesellschafter der Muttergesellschaft</v>
      </c>
      <c r="B55" s="15">
        <f>'Bilanz Air Berlin'!J11</f>
        <v>390772</v>
      </c>
      <c r="C55" s="36"/>
      <c r="E55" s="98" t="s">
        <v>145</v>
      </c>
      <c r="F55" s="98" t="s">
        <v>146</v>
      </c>
    </row>
    <row r="56" spans="1:7">
      <c r="A56" s="87" t="str">
        <f>'Bilanz Air Berlin'!I12</f>
        <v>davon nicht beherrschande Anteile</v>
      </c>
      <c r="B56" s="15">
        <f>'Bilanz Air Berlin'!J12</f>
        <v>629</v>
      </c>
      <c r="C56" s="36"/>
      <c r="E56" s="33" t="s">
        <v>147</v>
      </c>
      <c r="F56" s="33" t="s">
        <v>148</v>
      </c>
    </row>
    <row r="57" spans="1:7" ht="33">
      <c r="A57" s="52" t="s">
        <v>2</v>
      </c>
      <c r="B57" s="18">
        <f>B55+B56</f>
        <v>391401</v>
      </c>
      <c r="C57" s="70">
        <f>B57/B$69</f>
        <v>0.16303524701401334</v>
      </c>
      <c r="E57" s="108" t="s">
        <v>149</v>
      </c>
      <c r="F57" s="99" t="s">
        <v>150</v>
      </c>
    </row>
    <row r="58" spans="1:7" ht="22">
      <c r="A58" s="87" t="str">
        <f>'Bilanz Air Berlin'!I14</f>
        <v>Anleihen und Schuldscheindarlehen</v>
      </c>
      <c r="B58" s="88">
        <f>'Bilanz Air Berlin'!J14</f>
        <v>0</v>
      </c>
      <c r="C58" s="70">
        <f>B58/B$69</f>
        <v>0</v>
      </c>
      <c r="E58" s="109"/>
      <c r="F58" s="100" t="s">
        <v>151</v>
      </c>
    </row>
    <row r="59" spans="1:7">
      <c r="A59" s="54" t="str">
        <f>'Bilanz Air Berlin'!I15</f>
        <v>Rückstellungen</v>
      </c>
      <c r="B59" s="55">
        <f>'Bilanz Air Berlin'!J15</f>
        <v>10661</v>
      </c>
      <c r="C59" s="58">
        <f>B59/B$69</f>
        <v>4.4407622065768771E-3</v>
      </c>
      <c r="E59" s="33" t="s">
        <v>152</v>
      </c>
      <c r="F59" s="33" t="s">
        <v>153</v>
      </c>
    </row>
    <row r="60" spans="1:7" ht="22">
      <c r="A60" s="87" t="str">
        <f>'Bilanz Air Berlin'!I16</f>
        <v>Finanzverbindlichkeiten</v>
      </c>
      <c r="B60" s="88">
        <f>'Bilanz Air Berlin'!J16</f>
        <v>913246</v>
      </c>
      <c r="C60" s="36"/>
      <c r="E60" s="98" t="s">
        <v>154</v>
      </c>
      <c r="F60" s="98" t="s">
        <v>155</v>
      </c>
    </row>
    <row r="61" spans="1:7">
      <c r="A61" s="87" t="str">
        <f>'Bilanz Air Berlin'!I17</f>
        <v>Sonstige langfristige Verbindlichkeiten</v>
      </c>
      <c r="B61" s="88">
        <f>'Bilanz Air Berlin'!J17</f>
        <v>90030</v>
      </c>
      <c r="C61" s="36"/>
    </row>
    <row r="62" spans="1:7">
      <c r="A62" s="52" t="s">
        <v>18</v>
      </c>
      <c r="B62" s="53">
        <f>SUM(B58:B61)</f>
        <v>1013937</v>
      </c>
      <c r="C62" s="70">
        <f>B62/B$69</f>
        <v>0.42234810143982165</v>
      </c>
    </row>
    <row r="63" spans="1:7">
      <c r="A63" s="93" t="str">
        <f>'Bilanz Air Berlin'!I19</f>
        <v xml:space="preserve">Anleihen  </v>
      </c>
      <c r="B63" s="94">
        <f>'Bilanz Air Berlin'!J19</f>
        <v>0</v>
      </c>
      <c r="C63" s="36"/>
    </row>
    <row r="64" spans="1:7">
      <c r="A64" s="87" t="str">
        <f>'Bilanz Air Berlin'!I20</f>
        <v>Rückstellungen</v>
      </c>
      <c r="B64" s="88">
        <f>'Bilanz Air Berlin'!J20</f>
        <v>15562</v>
      </c>
      <c r="C64" s="58">
        <f>B64/B$69</f>
        <v>6.4822382008019284E-3</v>
      </c>
    </row>
    <row r="65" spans="1:13">
      <c r="A65" s="87" t="str">
        <f>'Bilanz Air Berlin'!I21</f>
        <v>Finanzverbindlichkeiten</v>
      </c>
      <c r="B65" s="88">
        <f>'Bilanz Air Berlin'!J21</f>
        <v>117023</v>
      </c>
      <c r="C65" s="58">
        <f>B65/B$69</f>
        <v>4.8745081671536052E-2</v>
      </c>
    </row>
    <row r="66" spans="1:13">
      <c r="A66" s="87" t="str">
        <f>'Bilanz Air Berlin'!I22</f>
        <v>Lieferantenverbindlichkeiten</v>
      </c>
      <c r="B66" s="88">
        <f>'Bilanz Air Berlin'!J22</f>
        <v>316121</v>
      </c>
      <c r="C66" s="70">
        <f>B66/B$69</f>
        <v>0.13167790915535962</v>
      </c>
      <c r="D66" s="33" t="s">
        <v>19</v>
      </c>
    </row>
    <row r="67" spans="1:13">
      <c r="A67" s="87" t="str">
        <f>'Bilanz Air Berlin'!I23</f>
        <v>Übrige Verbindlichkeiten</v>
      </c>
      <c r="B67" s="88">
        <f>'Bilanz Air Berlin'!J23</f>
        <v>546670</v>
      </c>
      <c r="C67" s="36"/>
    </row>
    <row r="68" spans="1:13">
      <c r="A68" s="52" t="s">
        <v>72</v>
      </c>
      <c r="B68" s="53">
        <f>SUM(B63:B67)</f>
        <v>995376</v>
      </c>
      <c r="C68" s="70">
        <f>B68/B$69</f>
        <v>0.414616651546165</v>
      </c>
    </row>
    <row r="69" spans="1:13">
      <c r="A69" s="56" t="s">
        <v>4</v>
      </c>
      <c r="B69" s="57">
        <f>B57+B62+B68</f>
        <v>2400714</v>
      </c>
      <c r="C69" s="70">
        <f>B69/B$69</f>
        <v>1</v>
      </c>
    </row>
    <row r="71" spans="1:13">
      <c r="A71" s="33" t="s">
        <v>123</v>
      </c>
      <c r="G71" s="33">
        <v>4</v>
      </c>
    </row>
    <row r="72" spans="1:13">
      <c r="A72" s="37" t="s">
        <v>156</v>
      </c>
      <c r="B72" s="35"/>
      <c r="C72" s="35"/>
      <c r="D72" s="35"/>
      <c r="E72" s="35"/>
      <c r="F72" s="35"/>
      <c r="G72" s="35"/>
      <c r="H72" s="101"/>
      <c r="I72" s="101"/>
      <c r="J72" s="101"/>
      <c r="K72" s="101"/>
      <c r="L72" s="101"/>
      <c r="M72" s="101"/>
    </row>
    <row r="73" spans="1:13">
      <c r="A73" s="37"/>
      <c r="B73" s="35"/>
      <c r="C73" s="35"/>
      <c r="D73" s="35"/>
      <c r="E73" s="37"/>
      <c r="F73" s="37"/>
      <c r="G73" s="35"/>
      <c r="H73" s="101"/>
      <c r="I73" s="101"/>
      <c r="J73" s="101"/>
      <c r="K73" s="101"/>
      <c r="L73" s="101"/>
      <c r="M73" s="101"/>
    </row>
    <row r="74" spans="1:13">
      <c r="A74" s="37" t="s">
        <v>165</v>
      </c>
      <c r="B74" s="35"/>
      <c r="C74" s="35"/>
      <c r="D74" s="37"/>
      <c r="E74" s="35"/>
      <c r="F74" s="35"/>
      <c r="G74" s="35"/>
      <c r="H74" s="101"/>
      <c r="I74" s="101"/>
      <c r="J74" s="101"/>
      <c r="K74" s="101"/>
      <c r="L74" s="101"/>
      <c r="M74" s="101"/>
    </row>
    <row r="75" spans="1:13">
      <c r="A75" s="37" t="s">
        <v>85</v>
      </c>
      <c r="B75" s="35"/>
      <c r="C75" s="35"/>
      <c r="D75" s="35"/>
      <c r="E75" s="35"/>
      <c r="F75" s="35"/>
      <c r="G75" s="35"/>
      <c r="H75" s="101"/>
      <c r="I75" s="101"/>
      <c r="J75" s="101"/>
      <c r="K75" s="101"/>
      <c r="L75" s="101"/>
      <c r="M75" s="101"/>
    </row>
    <row r="93" spans="1:2">
      <c r="A93" s="33" t="s">
        <v>124</v>
      </c>
    </row>
    <row r="94" spans="1:2">
      <c r="A94" s="35" t="s">
        <v>115</v>
      </c>
      <c r="B94" s="35"/>
    </row>
    <row r="100" spans="7:7">
      <c r="G100" s="33">
        <v>4</v>
      </c>
    </row>
    <row r="113" spans="1:7">
      <c r="A113" s="33" t="s">
        <v>125</v>
      </c>
    </row>
    <row r="114" spans="1:7">
      <c r="A114" s="35" t="s">
        <v>117</v>
      </c>
      <c r="B114" s="37"/>
      <c r="G114" s="33">
        <v>4</v>
      </c>
    </row>
    <row r="115" spans="1:7">
      <c r="A115" s="33" t="s">
        <v>126</v>
      </c>
    </row>
    <row r="116" spans="1:7">
      <c r="A116" s="34" t="s">
        <v>86</v>
      </c>
    </row>
    <row r="117" spans="1:7">
      <c r="A117" s="35" t="s">
        <v>118</v>
      </c>
      <c r="G117" s="33">
        <v>3</v>
      </c>
    </row>
    <row r="118" spans="1:7">
      <c r="A118" s="35" t="s">
        <v>87</v>
      </c>
      <c r="B118" s="35"/>
      <c r="C118" s="36"/>
    </row>
    <row r="119" spans="1:7">
      <c r="A119" s="35" t="s">
        <v>88</v>
      </c>
      <c r="B119" s="35"/>
      <c r="C119" s="35"/>
      <c r="D119" s="36"/>
    </row>
    <row r="120" spans="1:7">
      <c r="A120" s="33" t="s">
        <v>127</v>
      </c>
    </row>
    <row r="121" spans="1:7">
      <c r="A121" s="34" t="s">
        <v>89</v>
      </c>
    </row>
    <row r="122" spans="1:7">
      <c r="A122" s="37" t="s">
        <v>90</v>
      </c>
      <c r="B122" s="35"/>
      <c r="C122" s="35"/>
      <c r="G122" s="33">
        <v>2</v>
      </c>
    </row>
    <row r="123" spans="1:7">
      <c r="A123" s="38" t="s">
        <v>91</v>
      </c>
    </row>
    <row r="124" spans="1:7">
      <c r="A124" s="36" t="s">
        <v>92</v>
      </c>
    </row>
    <row r="125" spans="1:7">
      <c r="A125" s="36" t="s">
        <v>93</v>
      </c>
    </row>
    <row r="126" spans="1:7">
      <c r="A126" s="36" t="s">
        <v>94</v>
      </c>
    </row>
    <row r="127" spans="1:7">
      <c r="A127" s="36" t="s">
        <v>95</v>
      </c>
    </row>
    <row r="128" spans="1:7">
      <c r="A128" s="36" t="s">
        <v>96</v>
      </c>
    </row>
    <row r="129" spans="1:7">
      <c r="A129" s="36" t="s">
        <v>97</v>
      </c>
    </row>
    <row r="130" spans="1:7">
      <c r="A130" s="36" t="s">
        <v>98</v>
      </c>
    </row>
    <row r="131" spans="1:7">
      <c r="A131" s="36" t="s">
        <v>99</v>
      </c>
    </row>
    <row r="133" spans="1:7">
      <c r="A133" s="34" t="s">
        <v>128</v>
      </c>
      <c r="G133" s="33">
        <v>2</v>
      </c>
    </row>
    <row r="134" spans="1:7">
      <c r="A134" s="37" t="s">
        <v>129</v>
      </c>
      <c r="B134" s="35"/>
      <c r="C134" s="35"/>
      <c r="D134" s="35"/>
      <c r="E134" s="35"/>
      <c r="G134" s="33">
        <f>SUM(G2:G133)</f>
        <v>49</v>
      </c>
    </row>
  </sheetData>
  <mergeCells count="1">
    <mergeCell ref="E57:E58"/>
  </mergeCells>
  <phoneticPr fontId="14" type="noConversion"/>
  <pageMargins left="0.75000000000000011" right="0.75000000000000011" top="1" bottom="1" header="0.5" footer="0.5"/>
  <pageSetup paperSize="9" scale="93" fitToHeight="2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Bilanz Air Berlin</vt:lpstr>
      <vt:lpstr>GuV Air Berlin</vt:lpstr>
      <vt:lpstr>Analyse Air Berlin</vt:lpstr>
      <vt:lpstr>'Analyse Air Berlin'!Druckbereich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Microsoft Office User</cp:lastModifiedBy>
  <cp:lastPrinted>2019-01-30T09:13:57Z</cp:lastPrinted>
  <dcterms:created xsi:type="dcterms:W3CDTF">2014-10-21T15:14:15Z</dcterms:created>
  <dcterms:modified xsi:type="dcterms:W3CDTF">2021-02-07T22:02:31Z</dcterms:modified>
</cp:coreProperties>
</file>