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heckCompatibility="1" autoCompressPictures="0"/>
  <bookViews>
    <workbookView xWindow="0" yWindow="0" windowWidth="25600" windowHeight="16060" tabRatio="500" activeTab="2"/>
  </bookViews>
  <sheets>
    <sheet name="Bilanz Lufthansa" sheetId="1" r:id="rId1"/>
    <sheet name="GuV Lufthansa" sheetId="2" r:id="rId2"/>
    <sheet name="Analyse Lufthansa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4" i="3" l="1"/>
  <c r="H45" i="3"/>
  <c r="C6" i="3"/>
  <c r="C5" i="3"/>
  <c r="C22" i="3"/>
  <c r="J21" i="1"/>
  <c r="L16" i="1"/>
  <c r="J16" i="1"/>
  <c r="L23" i="1"/>
  <c r="J23" i="1"/>
  <c r="L17" i="1"/>
  <c r="L15" i="1"/>
  <c r="J17" i="1"/>
  <c r="J15" i="1"/>
  <c r="L8" i="1"/>
  <c r="J8" i="1"/>
  <c r="F19" i="1"/>
  <c r="D19" i="1"/>
  <c r="D18" i="1"/>
  <c r="F11" i="1"/>
  <c r="F9" i="1"/>
  <c r="F8" i="1"/>
  <c r="F7" i="1"/>
  <c r="F6" i="1"/>
  <c r="D11" i="1"/>
  <c r="D8" i="1"/>
  <c r="D9" i="1"/>
  <c r="D7" i="1"/>
  <c r="D6" i="1"/>
  <c r="D25" i="2"/>
  <c r="D20" i="2"/>
  <c r="B20" i="2"/>
  <c r="L3" i="1"/>
  <c r="A64" i="3"/>
  <c r="A65" i="3"/>
  <c r="A66" i="3"/>
  <c r="A67" i="3"/>
  <c r="A63" i="3"/>
  <c r="A51" i="3"/>
  <c r="A52" i="3"/>
  <c r="A53" i="3"/>
  <c r="A54" i="3"/>
  <c r="A55" i="3"/>
  <c r="A56" i="3"/>
  <c r="A50" i="3"/>
  <c r="A59" i="3"/>
  <c r="A60" i="3"/>
  <c r="A61" i="3"/>
  <c r="A58" i="3"/>
  <c r="B64" i="3"/>
  <c r="B65" i="3"/>
  <c r="B66" i="3"/>
  <c r="B67" i="3"/>
  <c r="B63" i="3"/>
  <c r="B59" i="3"/>
  <c r="B60" i="3"/>
  <c r="B61" i="3"/>
  <c r="B58" i="3"/>
  <c r="B51" i="3"/>
  <c r="B52" i="3"/>
  <c r="B53" i="3"/>
  <c r="B54" i="3"/>
  <c r="J11" i="1"/>
  <c r="B55" i="3"/>
  <c r="B56" i="3"/>
  <c r="B50" i="3"/>
  <c r="L11" i="1"/>
  <c r="L13" i="1"/>
  <c r="L18" i="1"/>
  <c r="L24" i="1"/>
  <c r="L25" i="1"/>
  <c r="M22" i="1"/>
  <c r="J13" i="1"/>
  <c r="J18" i="1"/>
  <c r="J24" i="1"/>
  <c r="J25" i="1"/>
  <c r="K22" i="1"/>
  <c r="F12" i="1"/>
  <c r="F22" i="1"/>
  <c r="F25" i="1"/>
  <c r="G17" i="1"/>
  <c r="D12" i="1"/>
  <c r="D22" i="1"/>
  <c r="D25" i="1"/>
  <c r="E17" i="1"/>
  <c r="B8" i="2"/>
  <c r="B12" i="2"/>
  <c r="B18" i="2"/>
  <c r="B25" i="2"/>
  <c r="B27" i="2"/>
  <c r="B31" i="2"/>
  <c r="D8" i="2"/>
  <c r="D12" i="2"/>
  <c r="D18" i="2"/>
  <c r="D27" i="2"/>
  <c r="D31" i="2"/>
  <c r="G31" i="2"/>
  <c r="G14" i="2"/>
  <c r="G10" i="2"/>
  <c r="G25" i="2"/>
  <c r="G22" i="2"/>
  <c r="G16" i="2"/>
  <c r="G21" i="2"/>
  <c r="B34" i="2"/>
  <c r="B57" i="3"/>
  <c r="B62" i="3"/>
  <c r="B68" i="3"/>
  <c r="B69" i="3"/>
  <c r="C66" i="3"/>
  <c r="C64" i="3"/>
  <c r="D40" i="3"/>
  <c r="D35" i="3"/>
  <c r="D32" i="3"/>
  <c r="C53" i="3"/>
  <c r="C65" i="3"/>
  <c r="C59" i="3"/>
  <c r="C58" i="3"/>
  <c r="C57" i="3"/>
  <c r="C62" i="3"/>
  <c r="C68" i="3"/>
  <c r="C69" i="3"/>
  <c r="C32" i="3"/>
  <c r="C40" i="3"/>
  <c r="G27" i="2"/>
  <c r="C4" i="3"/>
  <c r="C3" i="3"/>
  <c r="G4" i="2"/>
  <c r="C2" i="3"/>
  <c r="M24" i="1"/>
  <c r="M18" i="1"/>
  <c r="M13" i="1"/>
  <c r="D30" i="3"/>
  <c r="B9" i="3"/>
  <c r="D34" i="2"/>
  <c r="J3" i="1"/>
  <c r="C30" i="3"/>
  <c r="C44" i="3"/>
  <c r="C35" i="3"/>
  <c r="C13" i="3"/>
  <c r="C21" i="3"/>
  <c r="C20" i="3"/>
  <c r="C19" i="3"/>
  <c r="G18" i="2"/>
  <c r="G15" i="2"/>
  <c r="G12" i="2"/>
  <c r="G8" i="2"/>
  <c r="E12" i="1"/>
  <c r="K24" i="1"/>
  <c r="K18" i="1"/>
  <c r="E31" i="2"/>
  <c r="E27" i="2"/>
  <c r="E25" i="2"/>
  <c r="E18" i="2"/>
  <c r="E16" i="2"/>
  <c r="E15" i="2"/>
  <c r="E14" i="2"/>
  <c r="E12" i="2"/>
  <c r="E10" i="2"/>
  <c r="E8" i="2"/>
  <c r="C31" i="2"/>
  <c r="C27" i="2"/>
  <c r="C25" i="2"/>
  <c r="C18" i="2"/>
  <c r="C16" i="2"/>
  <c r="C15" i="2"/>
  <c r="C14" i="2"/>
  <c r="C12" i="2"/>
  <c r="C10" i="2"/>
  <c r="C8" i="2"/>
  <c r="G25" i="1"/>
  <c r="G22" i="1"/>
  <c r="G12" i="1"/>
  <c r="E22" i="1"/>
  <c r="E25" i="1"/>
  <c r="M25" i="1"/>
  <c r="K25" i="1"/>
  <c r="K13" i="1"/>
</calcChain>
</file>

<file path=xl/sharedStrings.xml><?xml version="1.0" encoding="utf-8"?>
<sst xmlns="http://schemas.openxmlformats.org/spreadsheetml/2006/main" count="195" uniqueCount="174">
  <si>
    <t>AKTIVA</t>
  </si>
  <si>
    <t>Vorjahr    (in Tsd.)</t>
  </si>
  <si>
    <t>PASSIVA</t>
  </si>
  <si>
    <t>Summe Eigenkapital</t>
  </si>
  <si>
    <t>Summe AKTIVA</t>
  </si>
  <si>
    <t>Summe PASSIVA</t>
  </si>
  <si>
    <t>Gewinn- und Verlustrechnung</t>
  </si>
  <si>
    <t>Sachanlagen</t>
  </si>
  <si>
    <t>in%</t>
  </si>
  <si>
    <t>Betriebsleistung</t>
  </si>
  <si>
    <t>Veränderung zum Vorjahr</t>
  </si>
  <si>
    <t>Langfristiges Vermögen</t>
  </si>
  <si>
    <t>Kurzfristiges Vermögen</t>
  </si>
  <si>
    <t>Summe Langfristiges Vermögen</t>
  </si>
  <si>
    <t>Immaterielle Vermögenswerte</t>
  </si>
  <si>
    <t>Finanzvermögen</t>
  </si>
  <si>
    <t>Vorräte</t>
  </si>
  <si>
    <t>Summe kurtfristiges Vermögen</t>
  </si>
  <si>
    <t>Finanzverbindlichkeiten</t>
  </si>
  <si>
    <t>Rückstellungen</t>
  </si>
  <si>
    <t>Langfristige Verbindlichkeiten</t>
  </si>
  <si>
    <t xml:space="preserve"> </t>
  </si>
  <si>
    <t>Umsatzerlöse</t>
  </si>
  <si>
    <t>Sonstige betriebliche Erträge</t>
  </si>
  <si>
    <t>Bestandsveränderungen</t>
  </si>
  <si>
    <t>Aktivierte Eigenleistungen</t>
  </si>
  <si>
    <t>Personalaufwand</t>
  </si>
  <si>
    <t>Abschreibungen</t>
  </si>
  <si>
    <t>Sonstige betriebliche Aufwendungen</t>
  </si>
  <si>
    <t>Finanzergebnis</t>
  </si>
  <si>
    <t>Ertratssteuern</t>
  </si>
  <si>
    <t>davon nicht geherrschende Anteile</t>
  </si>
  <si>
    <t>davon Ergebnis der Muttergesellschaft</t>
  </si>
  <si>
    <t>Jahresergebnis</t>
  </si>
  <si>
    <t>Eigenkapitalquote</t>
  </si>
  <si>
    <t>Entschuldungsdauer</t>
  </si>
  <si>
    <t>Cashflow in % des Umsatzes</t>
  </si>
  <si>
    <t>Gesamtkapitalrentabilität</t>
  </si>
  <si>
    <t>EK*100/GK</t>
  </si>
  <si>
    <t>(FK-liquMit)/CF</t>
  </si>
  <si>
    <t>CF*100/Umsatz</t>
  </si>
  <si>
    <t>(EGT+FKZinsen)/GK</t>
  </si>
  <si>
    <t>Kf Verm-kf Verb</t>
  </si>
  <si>
    <t>(EK+lf FK)/AV</t>
  </si>
  <si>
    <t>Anlagendeckung II Grades</t>
  </si>
  <si>
    <t>Operatives Betriebsergebnis (Betriebsergebnis - EBIT)</t>
  </si>
  <si>
    <t>Note</t>
  </si>
  <si>
    <t xml:space="preserve">Anlageintensität: Anteil des Anlage am Gesamtvermögen, </t>
  </si>
  <si>
    <t xml:space="preserve">Working Capital ist ein Wert in €, der angiebt, </t>
  </si>
  <si>
    <t>Goldene Bilanzregel (langfristiges Vermögen sollte langfristig finanziert sein).</t>
  </si>
  <si>
    <t>Er kann für Investitionen, Schuldentilgungen bzw. Ausschüttungen verwendet werden.</t>
  </si>
  <si>
    <t>Vereinfachte Berechnung. Gibt Auskunft über die Selbstfinanzierungskraft des Unternehmens.</t>
  </si>
  <si>
    <t>Ergebnis vor Steuern (EBT)</t>
  </si>
  <si>
    <t>EBT(EGT)+AfA</t>
  </si>
  <si>
    <t>EBIT*100/Umsatz</t>
  </si>
  <si>
    <t>Earnings bevor interest &amp; Tax in % des Umsatzes</t>
  </si>
  <si>
    <t>EBITDA = EBIT + depreciation&amp;amortization - bessere Vergleichbarkeit vom operativen Geschäft</t>
  </si>
  <si>
    <t>Bilanz nach IFRS</t>
  </si>
  <si>
    <t>1.1.-31.12.</t>
  </si>
  <si>
    <t>Abschlussjahr (in Tsd.)</t>
  </si>
  <si>
    <t>Kapitalrücklagen</t>
  </si>
  <si>
    <t>Bruttoergebnis vom Umsatz</t>
  </si>
  <si>
    <t>Materialaufwendungen und bezogene Leistungen</t>
  </si>
  <si>
    <t>Beteiligungserträge</t>
  </si>
  <si>
    <t>Zinserträge</t>
  </si>
  <si>
    <t>Zinsaufwand</t>
  </si>
  <si>
    <t>sonstiges Finanzergebnis</t>
  </si>
  <si>
    <t>Beteiligungen an Equity bil. Unternehmen</t>
  </si>
  <si>
    <t>Übrige Verbindlichkeiten</t>
  </si>
  <si>
    <t>Lieferantenverbindlichkeiten</t>
  </si>
  <si>
    <t>Eigenkapital</t>
  </si>
  <si>
    <t>Grundkaptial</t>
  </si>
  <si>
    <t>Sonstige Rücklagen</t>
  </si>
  <si>
    <t>Einbehaltene Ergebnisse</t>
  </si>
  <si>
    <t>davon nicht beherrschande Anteile</t>
  </si>
  <si>
    <t>Kurzfristige Verbindlichkeiten</t>
  </si>
  <si>
    <t>Ebit Margine Vergleich</t>
  </si>
  <si>
    <t>Gesellschafter der Muttergesellschaft</t>
  </si>
  <si>
    <t>anlage oder umlaufintensiv</t>
  </si>
  <si>
    <t>Working Capital</t>
  </si>
  <si>
    <t>Cash Flow</t>
  </si>
  <si>
    <t>Quicktest</t>
  </si>
  <si>
    <t>Liquidität 2. Grades</t>
  </si>
  <si>
    <t>(Zhahlungsmittel + kuf Vermögen i.e. Forderungn)*100/kf Verb</t>
  </si>
  <si>
    <t>gibt an, ob kurzfristige Verbindlichkeiten durch Zahlungsmittel und kurzfristiges Vermögen</t>
  </si>
  <si>
    <t>a</t>
  </si>
  <si>
    <t>b</t>
  </si>
  <si>
    <t xml:space="preserve">c  </t>
  </si>
  <si>
    <t>KGV gibt an, wie viele Jahre es dauert, bis das Unternehmen den Wert seiner Aktien als Gewinn erwirtschaftet hat.</t>
  </si>
  <si>
    <t>Marktkapitalisierung</t>
  </si>
  <si>
    <t xml:space="preserve">ist der Gesamtwert der Anteile eines börsennotierten Unternehmens. </t>
  </si>
  <si>
    <t xml:space="preserve"> (Kurs * Anzahl der im Umlauf befindlichen Anteile des Unternehmens)</t>
  </si>
  <si>
    <t>Bilanzierung nach IFRS</t>
  </si>
  <si>
    <t>IFRS = International Financial Reporting Standards</t>
  </si>
  <si>
    <t>Unterschiede</t>
  </si>
  <si>
    <t>Anlegerschutz steht im Vordergrund (Gläubigerschutz bei UGB)</t>
  </si>
  <si>
    <t>True &amp; Fair View Prinzip (Vorsichtsprinzip bei UGB)</t>
  </si>
  <si>
    <t>kaum Wahlrechte (im UGB viele Wahlrechte</t>
  </si>
  <si>
    <t xml:space="preserve">es wird auch Kapitalflußrechnung und Eigenkapitalveränderungsrechnung veröffentlicht </t>
  </si>
  <si>
    <t>Aktivierungspflicht bei selbsterstellten immateriellen Vermögen</t>
  </si>
  <si>
    <t>Forderungen in Fremdwährung zu Stichtagswerten (UGB Niederstwertprinzip)</t>
  </si>
  <si>
    <t>Verbindlichkeiten in Fremdwährung zu Stichtagswerten (UGB Höchstwertprinzip)</t>
  </si>
  <si>
    <t>etc.</t>
  </si>
  <si>
    <t>Sonstige Finanzanlagen</t>
  </si>
  <si>
    <t>Sonstiges lfr. Vermögen</t>
  </si>
  <si>
    <t>Forderungen aus Lieferungen und Leistungen</t>
  </si>
  <si>
    <t>Sonstige Forderungen und Vermögenswerte</t>
  </si>
  <si>
    <t>Liquide Mittel</t>
  </si>
  <si>
    <t>Zur Veräußerung gehaltene Vermögenswerte</t>
  </si>
  <si>
    <t>Anleihen und Schuldscheindarlehen</t>
  </si>
  <si>
    <t>Sonstige langfristige Verbindlichkeiten</t>
  </si>
  <si>
    <t xml:space="preserve">Anleihen  </t>
  </si>
  <si>
    <t>EBT</t>
  </si>
  <si>
    <t>Geschäftswachstum</t>
  </si>
  <si>
    <t>Mehr Personal oder Überstunden oder Erhöhungen</t>
  </si>
  <si>
    <t>starke Ergebnisverbesserung</t>
  </si>
  <si>
    <t>Porr ist stark umlaufintensiv v.a. Forderungen und liquide Mittel</t>
  </si>
  <si>
    <t xml:space="preserve">  ist bei Porr in der G&amp;V sogar extra ausgewiesen</t>
  </si>
  <si>
    <t xml:space="preserve"> wieviel des Umlaufvermögens langfristig finanziert ist. Sollte positiv sein. Ist hier gegeben, und hat sich stark verbessert.</t>
  </si>
  <si>
    <t>abgedeckt werden können. Ist hier gegeben.</t>
  </si>
  <si>
    <t xml:space="preserve"> Anlagendeckung 2. Grades prüft diese Regel. Sollte &gt;100% liegen. Ist hier gegeben.</t>
  </si>
  <si>
    <t>Das Unternehmen verfügt über Anleihen.</t>
  </si>
  <si>
    <t>Lufthansa AG</t>
  </si>
  <si>
    <t>31.12.20.. (in Mio.)</t>
  </si>
  <si>
    <t>Vorjahr    (in Mio.)</t>
  </si>
  <si>
    <t>Derivative Finanzinstrumente</t>
  </si>
  <si>
    <t>größte Aktivposition Investitionen in Flugzeuge</t>
  </si>
  <si>
    <t>Eigenkapital gestiegen, vor allem durch Gewinn - Finanzierung von AV</t>
  </si>
  <si>
    <t>kurzfr. Anlehen</t>
  </si>
  <si>
    <t>750 Mio</t>
  </si>
  <si>
    <t>sind fällig</t>
  </si>
  <si>
    <t xml:space="preserve">F, M, S&amp;P: BB fast investment grade, </t>
  </si>
  <si>
    <t>Stimmrecht</t>
  </si>
  <si>
    <t>d  e</t>
  </si>
  <si>
    <t>f</t>
  </si>
  <si>
    <t xml:space="preserve">g   </t>
  </si>
  <si>
    <t>h   i</t>
  </si>
  <si>
    <t xml:space="preserve">j    </t>
  </si>
  <si>
    <t xml:space="preserve">k </t>
  </si>
  <si>
    <t xml:space="preserve">l  </t>
  </si>
  <si>
    <t xml:space="preserve">m  </t>
  </si>
  <si>
    <t xml:space="preserve">n </t>
  </si>
  <si>
    <t>o IPO</t>
  </si>
  <si>
    <t>Börsegang, Primary, Secondary Market, Investmentbanken, Eigenkpaital am Kapitalmartk</t>
  </si>
  <si>
    <t>Lufthansa</t>
  </si>
  <si>
    <t>Überblick</t>
  </si>
  <si>
    <t>EK</t>
  </si>
  <si>
    <t>FK</t>
  </si>
  <si>
    <t>außen</t>
  </si>
  <si>
    <t>Grundkapital</t>
  </si>
  <si>
    <t>Kredit</t>
  </si>
  <si>
    <t>innen</t>
  </si>
  <si>
    <t>Gewinn</t>
  </si>
  <si>
    <t>Rückstellung</t>
  </si>
  <si>
    <t>EK +</t>
  </si>
  <si>
    <t>EK -</t>
  </si>
  <si>
    <t>unbefristet, Sicherheit</t>
  </si>
  <si>
    <t xml:space="preserve">höheres Risiko, Kap.bindung </t>
  </si>
  <si>
    <t>Gewinn+</t>
  </si>
  <si>
    <t>Gewinn -</t>
  </si>
  <si>
    <t>Steigerung EK Quote, Unabhkt.</t>
  </si>
  <si>
    <t xml:space="preserve">Widerstand Investoren, </t>
  </si>
  <si>
    <t>Kredit +</t>
  </si>
  <si>
    <t>Kredit -</t>
  </si>
  <si>
    <t xml:space="preserve">Häufigste Finanzierungsform, Verfügbarkeit, Einfach, </t>
  </si>
  <si>
    <t>Abhängigkeit, kostet Zinsen, scheint in der Bilanz auf</t>
  </si>
  <si>
    <t>Sicherheit notwendig</t>
  </si>
  <si>
    <t>Rückstellung +</t>
  </si>
  <si>
    <t>Rückstellung -</t>
  </si>
  <si>
    <t>kommt aus Unt, Gestaltbarkeit</t>
  </si>
  <si>
    <t xml:space="preserve">Gewinnminderung, </t>
  </si>
  <si>
    <t>Achsen: Kurs und Zeit</t>
  </si>
  <si>
    <t>Am Beginn des Jahres eher stagnierend, dann kam es zu einem Kursverfall und am Ende des Jahres ist der Kurs wieder kräftig angestiegen</t>
  </si>
  <si>
    <t>Gründe: Nach einem kurzfristigen Auf- und Ab kam es zu einem längerfristigen Kursverfall Gründe könnte das wirtschaftlich schwierige Umfeld sein. Z.B. Streiks,... Erst am Jahresende konnte der Kurs wieder gesteigert werden, positiver Geschäftsverlauf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</si>
</sst>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theme="0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Myriad Pro"/>
    </font>
    <font>
      <b/>
      <sz val="8"/>
      <name val="Myriad Pro"/>
    </font>
    <font>
      <sz val="6"/>
      <name val="Myriad Pro"/>
    </font>
    <font>
      <b/>
      <sz val="6"/>
      <name val="Myriad Pro"/>
    </font>
    <font>
      <b/>
      <sz val="6"/>
      <color theme="0"/>
      <name val="Myriad Pro"/>
    </font>
    <font>
      <sz val="6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8"/>
      <color rgb="FF008000"/>
      <name val="Calibri"/>
      <scheme val="minor"/>
    </font>
    <font>
      <b/>
      <sz val="8"/>
      <color rgb="FF008000"/>
      <name val="Calibri"/>
      <scheme val="minor"/>
    </font>
    <font>
      <b/>
      <sz val="8"/>
      <color theme="0"/>
      <name val="Myriad Pro"/>
      <family val="2"/>
    </font>
    <font>
      <sz val="7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37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Fill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3" fontId="3" fillId="0" borderId="4" xfId="0" applyNumberFormat="1" applyFont="1" applyFill="1" applyBorder="1"/>
    <xf numFmtId="3" fontId="4" fillId="0" borderId="4" xfId="0" applyNumberFormat="1" applyFont="1" applyFill="1" applyBorder="1"/>
    <xf numFmtId="0" fontId="5" fillId="2" borderId="0" xfId="0" applyFont="1" applyFill="1"/>
    <xf numFmtId="3" fontId="5" fillId="2" borderId="4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165" fontId="4" fillId="0" borderId="4" xfId="32" applyNumberFormat="1" applyFont="1" applyFill="1" applyBorder="1"/>
    <xf numFmtId="3" fontId="8" fillId="0" borderId="4" xfId="0" applyNumberFormat="1" applyFont="1" applyFill="1" applyBorder="1"/>
    <xf numFmtId="9" fontId="9" fillId="0" borderId="4" xfId="1" applyFont="1" applyFill="1" applyBorder="1"/>
    <xf numFmtId="9" fontId="8" fillId="0" borderId="4" xfId="1" applyFont="1" applyFill="1" applyBorder="1"/>
    <xf numFmtId="3" fontId="9" fillId="0" borderId="4" xfId="0" applyNumberFormat="1" applyFont="1" applyFill="1" applyBorder="1"/>
    <xf numFmtId="0" fontId="8" fillId="0" borderId="0" xfId="0" applyFont="1"/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0" fontId="10" fillId="0" borderId="4" xfId="0" applyFont="1" applyFill="1" applyBorder="1"/>
    <xf numFmtId="3" fontId="10" fillId="0" borderId="4" xfId="0" applyNumberFormat="1" applyFont="1" applyFill="1" applyBorder="1"/>
    <xf numFmtId="9" fontId="10" fillId="0" borderId="4" xfId="1" applyFont="1" applyFill="1" applyBorder="1"/>
    <xf numFmtId="3" fontId="10" fillId="0" borderId="6" xfId="0" applyNumberFormat="1" applyFont="1" applyFill="1" applyBorder="1"/>
    <xf numFmtId="3" fontId="11" fillId="0" borderId="4" xfId="0" applyNumberFormat="1" applyFont="1" applyFill="1" applyBorder="1"/>
    <xf numFmtId="9" fontId="12" fillId="2" borderId="4" xfId="1" applyFont="1" applyFill="1" applyBorder="1"/>
    <xf numFmtId="14" fontId="11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3" fontId="10" fillId="0" borderId="5" xfId="0" applyNumberFormat="1" applyFont="1" applyFill="1" applyBorder="1"/>
    <xf numFmtId="1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0" xfId="0" applyFont="1"/>
    <xf numFmtId="0" fontId="16" fillId="0" borderId="0" xfId="0" applyFont="1"/>
    <xf numFmtId="0" fontId="15" fillId="4" borderId="0" xfId="0" applyFont="1" applyFill="1"/>
    <xf numFmtId="0" fontId="17" fillId="0" borderId="0" xfId="0" applyFont="1"/>
    <xf numFmtId="0" fontId="17" fillId="4" borderId="0" xfId="0" applyFont="1" applyFill="1"/>
    <xf numFmtId="0" fontId="18" fillId="0" borderId="0" xfId="0" applyFont="1"/>
    <xf numFmtId="9" fontId="17" fillId="0" borderId="0" xfId="0" applyNumberFormat="1" applyFont="1"/>
    <xf numFmtId="9" fontId="18" fillId="4" borderId="0" xfId="1" applyFont="1" applyFill="1"/>
    <xf numFmtId="165" fontId="18" fillId="4" borderId="0" xfId="32" applyNumberFormat="1" applyFont="1" applyFill="1"/>
    <xf numFmtId="0" fontId="17" fillId="4" borderId="0" xfId="0" applyFont="1" applyFill="1" applyAlignment="1">
      <alignment horizontal="center"/>
    </xf>
    <xf numFmtId="0" fontId="17" fillId="4" borderId="8" xfId="0" applyFont="1" applyFill="1" applyBorder="1"/>
    <xf numFmtId="9" fontId="18" fillId="4" borderId="8" xfId="1" applyFont="1" applyFill="1" applyBorder="1"/>
    <xf numFmtId="0" fontId="17" fillId="4" borderId="8" xfId="0" applyFont="1" applyFill="1" applyBorder="1" applyAlignment="1">
      <alignment horizontal="center"/>
    </xf>
    <xf numFmtId="164" fontId="18" fillId="4" borderId="8" xfId="32" applyNumberFormat="1" applyFont="1" applyFill="1" applyBorder="1"/>
    <xf numFmtId="166" fontId="18" fillId="4" borderId="8" xfId="1" applyNumberFormat="1" applyFont="1" applyFill="1" applyBorder="1"/>
    <xf numFmtId="0" fontId="17" fillId="4" borderId="8" xfId="0" quotePrefix="1" applyFont="1" applyFill="1" applyBorder="1" applyAlignment="1">
      <alignment horizontal="center"/>
    </xf>
    <xf numFmtId="3" fontId="18" fillId="4" borderId="0" xfId="0" applyNumberFormat="1" applyFont="1" applyFill="1"/>
    <xf numFmtId="3" fontId="17" fillId="4" borderId="0" xfId="0" applyNumberFormat="1" applyFont="1" applyFill="1"/>
    <xf numFmtId="9" fontId="15" fillId="0" borderId="0" xfId="1" applyFont="1"/>
    <xf numFmtId="0" fontId="9" fillId="0" borderId="0" xfId="0" applyFont="1" applyFill="1"/>
    <xf numFmtId="165" fontId="9" fillId="0" borderId="4" xfId="32" applyNumberFormat="1" applyFont="1" applyFill="1" applyBorder="1"/>
    <xf numFmtId="0" fontId="8" fillId="5" borderId="0" xfId="0" applyFont="1" applyFill="1"/>
    <xf numFmtId="165" fontId="8" fillId="5" borderId="4" xfId="32" applyNumberFormat="1" applyFont="1" applyFill="1" applyBorder="1"/>
    <xf numFmtId="0" fontId="19" fillId="2" borderId="0" xfId="0" applyFont="1" applyFill="1"/>
    <xf numFmtId="3" fontId="19" fillId="2" borderId="4" xfId="0" applyNumberFormat="1" applyFont="1" applyFill="1" applyBorder="1"/>
    <xf numFmtId="9" fontId="17" fillId="0" borderId="0" xfId="1" applyFont="1"/>
    <xf numFmtId="14" fontId="9" fillId="0" borderId="3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3" xfId="0" applyNumberFormat="1" applyFont="1" applyBorder="1" applyAlignment="1">
      <alignment horizontal="center"/>
    </xf>
    <xf numFmtId="14" fontId="9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4" xfId="0" applyFont="1" applyBorder="1"/>
    <xf numFmtId="3" fontId="8" fillId="0" borderId="4" xfId="0" applyNumberFormat="1" applyFont="1" applyBorder="1"/>
    <xf numFmtId="0" fontId="9" fillId="3" borderId="0" xfId="0" applyFont="1" applyFill="1" applyAlignment="1">
      <alignment vertical="top" wrapText="1"/>
    </xf>
    <xf numFmtId="3" fontId="9" fillId="3" borderId="4" xfId="0" applyNumberFormat="1" applyFont="1" applyFill="1" applyBorder="1"/>
    <xf numFmtId="0" fontId="9" fillId="0" borderId="0" xfId="0" applyFont="1" applyFill="1" applyAlignment="1">
      <alignment vertical="top" wrapText="1"/>
    </xf>
    <xf numFmtId="9" fontId="18" fillId="0" borderId="0" xfId="1" applyFont="1"/>
    <xf numFmtId="0" fontId="8" fillId="6" borderId="0" xfId="0" applyFont="1" applyFill="1" applyAlignment="1">
      <alignment vertical="top" wrapText="1"/>
    </xf>
    <xf numFmtId="3" fontId="8" fillId="6" borderId="4" xfId="0" applyNumberFormat="1" applyFont="1" applyFill="1" applyBorder="1"/>
    <xf numFmtId="3" fontId="9" fillId="6" borderId="4" xfId="0" applyNumberFormat="1" applyFont="1" applyFill="1" applyBorder="1"/>
    <xf numFmtId="9" fontId="9" fillId="6" borderId="4" xfId="1" applyFont="1" applyFill="1" applyBorder="1"/>
    <xf numFmtId="0" fontId="8" fillId="6" borderId="0" xfId="0" applyFont="1" applyFill="1" applyAlignment="1">
      <alignment vertical="center" wrapText="1"/>
    </xf>
    <xf numFmtId="3" fontId="8" fillId="6" borderId="4" xfId="0" applyNumberFormat="1" applyFont="1" applyFill="1" applyBorder="1" applyAlignment="1">
      <alignment vertical="center"/>
    </xf>
    <xf numFmtId="9" fontId="8" fillId="6" borderId="4" xfId="1" applyFont="1" applyFill="1" applyBorder="1"/>
    <xf numFmtId="0" fontId="8" fillId="7" borderId="0" xfId="0" applyFont="1" applyFill="1" applyAlignment="1">
      <alignment vertical="top" wrapText="1"/>
    </xf>
    <xf numFmtId="3" fontId="8" fillId="7" borderId="4" xfId="0" applyNumberFormat="1" applyFont="1" applyFill="1" applyBorder="1"/>
    <xf numFmtId="165" fontId="3" fillId="0" borderId="4" xfId="32" applyNumberFormat="1" applyFont="1" applyFill="1" applyBorder="1"/>
    <xf numFmtId="0" fontId="3" fillId="0" borderId="5" xfId="0" applyFont="1" applyFill="1" applyBorder="1"/>
    <xf numFmtId="165" fontId="3" fillId="0" borderId="6" xfId="32" applyNumberFormat="1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1" fontId="17" fillId="4" borderId="8" xfId="0" quotePrefix="1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0" xfId="0" applyFont="1" applyFill="1"/>
    <xf numFmtId="165" fontId="8" fillId="0" borderId="4" xfId="32" applyNumberFormat="1" applyFont="1" applyFill="1" applyBorder="1"/>
    <xf numFmtId="0" fontId="8" fillId="8" borderId="0" xfId="0" applyFont="1" applyFill="1"/>
    <xf numFmtId="3" fontId="8" fillId="8" borderId="4" xfId="0" applyNumberFormat="1" applyFont="1" applyFill="1" applyBorder="1"/>
    <xf numFmtId="0" fontId="8" fillId="9" borderId="0" xfId="0" applyFont="1" applyFill="1"/>
    <xf numFmtId="3" fontId="8" fillId="9" borderId="4" xfId="0" applyNumberFormat="1" applyFont="1" applyFill="1" applyBorder="1"/>
    <xf numFmtId="0" fontId="8" fillId="10" borderId="0" xfId="0" applyFont="1" applyFill="1"/>
    <xf numFmtId="165" fontId="8" fillId="10" borderId="4" xfId="32" applyNumberFormat="1" applyFont="1" applyFill="1" applyBorder="1"/>
    <xf numFmtId="0" fontId="16" fillId="11" borderId="8" xfId="0" applyFont="1" applyFill="1" applyBorder="1"/>
    <xf numFmtId="0" fontId="16" fillId="0" borderId="8" xfId="0" applyFont="1" applyBorder="1"/>
    <xf numFmtId="0" fontId="15" fillId="0" borderId="8" xfId="0" applyFont="1" applyBorder="1"/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</cellXfs>
  <cellStyles count="237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Dezimal" xfId="32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Prozent" xfId="1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22</xdr:row>
      <xdr:rowOff>12700</xdr:rowOff>
    </xdr:from>
    <xdr:to>
      <xdr:col>4</xdr:col>
      <xdr:colOff>774700</xdr:colOff>
      <xdr:row>27</xdr:row>
      <xdr:rowOff>190499</xdr:rowOff>
    </xdr:to>
    <xdr:pic>
      <xdr:nvPicPr>
        <xdr:cNvPr id="2" name="Bild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203700"/>
          <a:ext cx="3746500" cy="1130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75</xdr:row>
      <xdr:rowOff>152400</xdr:rowOff>
    </xdr:from>
    <xdr:to>
      <xdr:col>6</xdr:col>
      <xdr:colOff>254000</xdr:colOff>
      <xdr:row>91</xdr:row>
      <xdr:rowOff>160020</xdr:rowOff>
    </xdr:to>
    <xdr:pic>
      <xdr:nvPicPr>
        <xdr:cNvPr id="15" name="Bild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439900"/>
          <a:ext cx="4965700" cy="3055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12700</xdr:colOff>
      <xdr:row>95</xdr:row>
      <xdr:rowOff>25400</xdr:rowOff>
    </xdr:from>
    <xdr:to>
      <xdr:col>5</xdr:col>
      <xdr:colOff>723121</xdr:colOff>
      <xdr:row>111</xdr:row>
      <xdr:rowOff>98864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" y="18122900"/>
          <a:ext cx="4710921" cy="3121464"/>
        </a:xfrm>
        <a:prstGeom prst="rect">
          <a:avLst/>
        </a:prstGeom>
      </xdr:spPr>
    </xdr:pic>
    <xdr:clientData/>
  </xdr:twoCellAnchor>
  <xdr:twoCellAnchor>
    <xdr:from>
      <xdr:col>0</xdr:col>
      <xdr:colOff>1625600</xdr:colOff>
      <xdr:row>102</xdr:row>
      <xdr:rowOff>0</xdr:rowOff>
    </xdr:from>
    <xdr:to>
      <xdr:col>2</xdr:col>
      <xdr:colOff>457200</xdr:colOff>
      <xdr:row>104</xdr:row>
      <xdr:rowOff>88900</xdr:rowOff>
    </xdr:to>
    <xdr:sp macro="" textlink="">
      <xdr:nvSpPr>
        <xdr:cNvPr id="23" name="Oval 22"/>
        <xdr:cNvSpPr/>
      </xdr:nvSpPr>
      <xdr:spPr>
        <a:xfrm>
          <a:off x="1625600" y="194310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1612900</xdr:colOff>
      <xdr:row>105</xdr:row>
      <xdr:rowOff>101600</xdr:rowOff>
    </xdr:from>
    <xdr:to>
      <xdr:col>2</xdr:col>
      <xdr:colOff>444500</xdr:colOff>
      <xdr:row>108</xdr:row>
      <xdr:rowOff>0</xdr:rowOff>
    </xdr:to>
    <xdr:sp macro="" textlink="">
      <xdr:nvSpPr>
        <xdr:cNvPr id="24" name="Oval 23"/>
        <xdr:cNvSpPr/>
      </xdr:nvSpPr>
      <xdr:spPr>
        <a:xfrm>
          <a:off x="1612900" y="201041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1562100</xdr:colOff>
      <xdr:row>107</xdr:row>
      <xdr:rowOff>165100</xdr:rowOff>
    </xdr:from>
    <xdr:to>
      <xdr:col>2</xdr:col>
      <xdr:colOff>393700</xdr:colOff>
      <xdr:row>110</xdr:row>
      <xdr:rowOff>63500</xdr:rowOff>
    </xdr:to>
    <xdr:sp macro="" textlink="">
      <xdr:nvSpPr>
        <xdr:cNvPr id="25" name="Oval 24"/>
        <xdr:cNvSpPr/>
      </xdr:nvSpPr>
      <xdr:spPr>
        <a:xfrm>
          <a:off x="1562100" y="205486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1600200</xdr:colOff>
      <xdr:row>103</xdr:row>
      <xdr:rowOff>177800</xdr:rowOff>
    </xdr:from>
    <xdr:to>
      <xdr:col>2</xdr:col>
      <xdr:colOff>431800</xdr:colOff>
      <xdr:row>106</xdr:row>
      <xdr:rowOff>76200</xdr:rowOff>
    </xdr:to>
    <xdr:sp macro="" textlink="">
      <xdr:nvSpPr>
        <xdr:cNvPr id="26" name="Oval 25"/>
        <xdr:cNvSpPr/>
      </xdr:nvSpPr>
      <xdr:spPr>
        <a:xfrm>
          <a:off x="1600200" y="19799300"/>
          <a:ext cx="1752600" cy="469900"/>
        </a:xfrm>
        <a:prstGeom prst="ellips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3" sqref="B3:L25"/>
    </sheetView>
  </sheetViews>
  <sheetFormatPr baseColWidth="10" defaultRowHeight="15" x14ac:dyDescent="0"/>
  <cols>
    <col min="1" max="1" width="1.1640625" customWidth="1"/>
    <col min="2" max="2" width="1.33203125" customWidth="1"/>
    <col min="3" max="3" width="29.83203125" customWidth="1"/>
    <col min="4" max="4" width="11" customWidth="1"/>
    <col min="5" max="5" width="0.1640625" style="29" customWidth="1"/>
    <col min="6" max="6" width="11" customWidth="1"/>
    <col min="7" max="7" width="0.1640625" style="29" customWidth="1"/>
    <col min="8" max="8" width="1.5" customWidth="1"/>
    <col min="9" max="9" width="28.33203125" customWidth="1"/>
    <col min="10" max="10" width="11" customWidth="1"/>
    <col min="11" max="11" width="0.1640625" style="29" customWidth="1"/>
    <col min="12" max="12" width="11" customWidth="1"/>
    <col min="13" max="13" width="4.5" hidden="1" customWidth="1"/>
  </cols>
  <sheetData>
    <row r="1" spans="1:14">
      <c r="A1" s="1"/>
      <c r="B1" s="103" t="s">
        <v>122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"/>
    </row>
    <row r="2" spans="1:14">
      <c r="A2" s="3"/>
      <c r="B2" s="103" t="s">
        <v>57</v>
      </c>
      <c r="C2" s="103"/>
      <c r="D2" s="103"/>
      <c r="E2" s="103"/>
      <c r="F2" s="103"/>
      <c r="G2" s="103"/>
      <c r="N2" s="3"/>
    </row>
    <row r="3" spans="1:14" ht="31" thickBot="1">
      <c r="A3" s="102"/>
      <c r="B3" s="104" t="s">
        <v>0</v>
      </c>
      <c r="C3" s="105"/>
      <c r="D3" s="2" t="s">
        <v>123</v>
      </c>
      <c r="E3" s="28" t="s">
        <v>8</v>
      </c>
      <c r="F3" s="2" t="s">
        <v>124</v>
      </c>
      <c r="G3" s="20"/>
      <c r="H3" s="106" t="s">
        <v>2</v>
      </c>
      <c r="I3" s="107"/>
      <c r="J3" s="2" t="str">
        <f>D3</f>
        <v>31.12.20.. (in Mio.)</v>
      </c>
      <c r="K3" s="28" t="s">
        <v>8</v>
      </c>
      <c r="L3" s="2" t="str">
        <f>F3</f>
        <v>Vorjahr    (in Mio.)</v>
      </c>
      <c r="M3" s="20" t="s">
        <v>8</v>
      </c>
      <c r="N3" s="3"/>
    </row>
    <row r="4" spans="1:14">
      <c r="A4" s="102"/>
      <c r="B4" s="3"/>
      <c r="C4" s="3"/>
      <c r="D4" s="4"/>
      <c r="E4" s="22"/>
      <c r="F4" s="4"/>
      <c r="G4" s="21"/>
      <c r="H4" s="3"/>
      <c r="I4" s="3"/>
      <c r="J4" s="4"/>
      <c r="K4" s="22"/>
      <c r="L4" s="4"/>
      <c r="M4" s="21"/>
      <c r="N4" s="3"/>
    </row>
    <row r="5" spans="1:14">
      <c r="A5" s="102"/>
      <c r="B5" s="5"/>
      <c r="C5" s="5" t="s">
        <v>11</v>
      </c>
      <c r="D5" s="4"/>
      <c r="E5" s="22"/>
      <c r="F5" s="4"/>
      <c r="G5" s="22"/>
      <c r="H5" s="5"/>
      <c r="I5" s="5" t="s">
        <v>70</v>
      </c>
      <c r="J5" s="4"/>
      <c r="K5" s="22"/>
      <c r="L5" s="4"/>
      <c r="M5" s="22"/>
      <c r="N5" s="3"/>
    </row>
    <row r="6" spans="1:14">
      <c r="A6" s="102"/>
      <c r="B6" s="3"/>
      <c r="C6" s="3" t="s">
        <v>14</v>
      </c>
      <c r="D6" s="80">
        <f>1235+422</f>
        <v>1657</v>
      </c>
      <c r="E6" s="22"/>
      <c r="F6" s="80">
        <f>1197+390</f>
        <v>1587</v>
      </c>
      <c r="G6" s="22"/>
      <c r="H6" s="3"/>
      <c r="I6" s="3" t="s">
        <v>71</v>
      </c>
      <c r="J6" s="6">
        <v>1189</v>
      </c>
      <c r="K6" s="23"/>
      <c r="L6" s="6">
        <v>1185</v>
      </c>
      <c r="M6" s="23"/>
      <c r="N6" s="3"/>
    </row>
    <row r="7" spans="1:14">
      <c r="A7" s="102"/>
      <c r="B7" s="3"/>
      <c r="C7" s="3" t="s">
        <v>7</v>
      </c>
      <c r="D7" s="80">
        <f>14591+1388+2173</f>
        <v>18152</v>
      </c>
      <c r="E7" s="22"/>
      <c r="F7" s="80">
        <f>13572+1083+2109</f>
        <v>16764</v>
      </c>
      <c r="G7" s="23"/>
      <c r="H7" s="3"/>
      <c r="I7" s="3" t="s">
        <v>60</v>
      </c>
      <c r="J7" s="6">
        <v>187</v>
      </c>
      <c r="K7" s="23"/>
      <c r="L7" s="6">
        <v>170</v>
      </c>
      <c r="M7" s="23"/>
      <c r="N7" s="3"/>
    </row>
    <row r="8" spans="1:14">
      <c r="A8" s="102"/>
      <c r="B8" s="3"/>
      <c r="C8" s="3" t="s">
        <v>15</v>
      </c>
      <c r="D8" s="80">
        <f>15+1234</f>
        <v>1249</v>
      </c>
      <c r="E8" s="22"/>
      <c r="F8" s="80">
        <f>599+10</f>
        <v>609</v>
      </c>
      <c r="G8" s="23"/>
      <c r="H8" s="3"/>
      <c r="I8" s="3" t="s">
        <v>72</v>
      </c>
      <c r="J8" s="6">
        <f>1612+1082</f>
        <v>2694</v>
      </c>
      <c r="K8" s="23"/>
      <c r="L8" s="6">
        <f>1237+1321</f>
        <v>2558</v>
      </c>
      <c r="M8" s="23"/>
      <c r="N8" s="3"/>
    </row>
    <row r="9" spans="1:14">
      <c r="A9" s="102"/>
      <c r="B9" s="3"/>
      <c r="C9" s="3" t="s">
        <v>67</v>
      </c>
      <c r="D9" s="80">
        <f>520+201</f>
        <v>721</v>
      </c>
      <c r="E9" s="22"/>
      <c r="F9" s="80">
        <f>776+445</f>
        <v>1221</v>
      </c>
      <c r="G9" s="23"/>
      <c r="H9" s="3"/>
      <c r="I9" s="3" t="s">
        <v>73</v>
      </c>
      <c r="J9" s="6">
        <v>1698</v>
      </c>
      <c r="K9" s="23"/>
      <c r="L9" s="6">
        <v>55</v>
      </c>
      <c r="M9" s="23"/>
      <c r="N9" s="3"/>
    </row>
    <row r="10" spans="1:14">
      <c r="A10" s="102"/>
      <c r="B10" s="3"/>
      <c r="C10" s="3" t="s">
        <v>103</v>
      </c>
      <c r="D10" s="80">
        <v>516</v>
      </c>
      <c r="E10" s="22"/>
      <c r="F10" s="80">
        <v>515</v>
      </c>
      <c r="G10" s="23"/>
      <c r="H10" s="3"/>
      <c r="I10" s="3"/>
      <c r="J10" s="6"/>
      <c r="K10" s="23"/>
      <c r="L10" s="6"/>
      <c r="M10" s="23"/>
      <c r="N10" s="3"/>
    </row>
    <row r="11" spans="1:14">
      <c r="A11" s="3"/>
      <c r="B11" s="3"/>
      <c r="C11" s="81" t="s">
        <v>104</v>
      </c>
      <c r="D11" s="82">
        <f>19+1200+12</f>
        <v>1231</v>
      </c>
      <c r="E11" s="25"/>
      <c r="F11" s="82">
        <f>11+31+1489</f>
        <v>1531</v>
      </c>
      <c r="G11" s="25"/>
      <c r="H11" s="3"/>
      <c r="I11" s="3" t="s">
        <v>77</v>
      </c>
      <c r="J11" s="6">
        <f>SUM(J6:J9)</f>
        <v>5768</v>
      </c>
      <c r="K11" s="23"/>
      <c r="L11" s="6">
        <f>SUM(L6:L9)</f>
        <v>3968</v>
      </c>
      <c r="M11" s="23"/>
      <c r="N11" s="3"/>
    </row>
    <row r="12" spans="1:14">
      <c r="A12" s="3"/>
      <c r="B12" s="3"/>
      <c r="C12" s="5" t="s">
        <v>13</v>
      </c>
      <c r="D12" s="14">
        <f>SUM(D6:D11)</f>
        <v>23526</v>
      </c>
      <c r="E12" s="24">
        <f>D12/D$25</f>
        <v>0.72472429301953056</v>
      </c>
      <c r="F12" s="14">
        <f>SUM(F6:F11)</f>
        <v>22227</v>
      </c>
      <c r="G12" s="24">
        <f>F12/F$25</f>
        <v>0.72937586139003741</v>
      </c>
      <c r="H12" s="3"/>
      <c r="I12" s="81" t="s">
        <v>74</v>
      </c>
      <c r="J12" s="84">
        <v>77</v>
      </c>
      <c r="K12" s="25"/>
      <c r="L12" s="84">
        <v>63</v>
      </c>
      <c r="M12" s="25"/>
      <c r="N12" s="3"/>
    </row>
    <row r="13" spans="1:14">
      <c r="A13" s="3"/>
      <c r="B13" s="3"/>
      <c r="C13" s="3"/>
      <c r="D13" s="6"/>
      <c r="E13" s="23"/>
      <c r="F13" s="6"/>
      <c r="G13" s="23"/>
      <c r="H13" s="3"/>
      <c r="I13" s="5" t="s">
        <v>3</v>
      </c>
      <c r="J13" s="7">
        <f>J11+J12</f>
        <v>5845</v>
      </c>
      <c r="K13" s="24">
        <f>J13/J$25</f>
        <v>0.18005668165855462</v>
      </c>
      <c r="L13" s="7">
        <f>L11+L12</f>
        <v>4031</v>
      </c>
      <c r="M13" s="24">
        <f>L13/L$25</f>
        <v>0.13227669488744503</v>
      </c>
      <c r="N13" s="3"/>
    </row>
    <row r="14" spans="1:14">
      <c r="A14" s="102"/>
      <c r="D14" s="6"/>
      <c r="E14" s="23"/>
      <c r="F14" s="6"/>
      <c r="G14" s="23"/>
      <c r="H14" s="5"/>
      <c r="I14" s="3" t="s">
        <v>109</v>
      </c>
      <c r="J14" s="80">
        <v>998</v>
      </c>
      <c r="K14" s="22"/>
      <c r="L14" s="80">
        <v>1468</v>
      </c>
      <c r="M14" s="22"/>
      <c r="N14" s="3"/>
    </row>
    <row r="15" spans="1:14">
      <c r="A15" s="102"/>
      <c r="B15" s="5"/>
      <c r="C15" s="5" t="s">
        <v>12</v>
      </c>
      <c r="D15" s="6"/>
      <c r="E15" s="23"/>
      <c r="F15" s="6"/>
      <c r="G15" s="23"/>
      <c r="H15" s="3"/>
      <c r="I15" s="3" t="s">
        <v>19</v>
      </c>
      <c r="J15" s="80">
        <f>6626+526</f>
        <v>7152</v>
      </c>
      <c r="K15" s="22"/>
      <c r="L15" s="80">
        <f>7231+601</f>
        <v>7832</v>
      </c>
      <c r="M15" s="22"/>
      <c r="N15" s="3"/>
    </row>
    <row r="16" spans="1:14">
      <c r="A16" s="102"/>
      <c r="B16" s="3"/>
      <c r="C16" s="3" t="s">
        <v>16</v>
      </c>
      <c r="D16" s="6">
        <v>761</v>
      </c>
      <c r="E16" s="23"/>
      <c r="F16" s="6">
        <v>700</v>
      </c>
      <c r="G16" s="23"/>
      <c r="H16" s="5"/>
      <c r="I16" s="3" t="s">
        <v>18</v>
      </c>
      <c r="J16" s="80">
        <f>121+1223+949+3084</f>
        <v>5377</v>
      </c>
      <c r="K16" s="22"/>
      <c r="L16" s="80">
        <f>136+1179+937+2959</f>
        <v>5211</v>
      </c>
      <c r="M16" s="22"/>
      <c r="N16" s="3"/>
    </row>
    <row r="17" spans="1:14">
      <c r="A17" s="102"/>
      <c r="B17" s="3"/>
      <c r="C17" s="3" t="s">
        <v>105</v>
      </c>
      <c r="D17" s="6">
        <v>4389</v>
      </c>
      <c r="E17" s="24">
        <f>D17/D$25</f>
        <v>0.1352042388022919</v>
      </c>
      <c r="F17" s="6">
        <v>3995</v>
      </c>
      <c r="G17" s="24">
        <f>F17/F$25</f>
        <v>0.13109535997899849</v>
      </c>
      <c r="H17" s="3"/>
      <c r="I17" s="81" t="s">
        <v>110</v>
      </c>
      <c r="J17" s="82">
        <f>307+346</f>
        <v>653</v>
      </c>
      <c r="K17" s="25"/>
      <c r="L17" s="82">
        <f>719+239</f>
        <v>958</v>
      </c>
      <c r="M17" s="25"/>
      <c r="N17" s="3"/>
    </row>
    <row r="18" spans="1:14">
      <c r="A18" s="102"/>
      <c r="B18" s="3"/>
      <c r="C18" s="3" t="s">
        <v>125</v>
      </c>
      <c r="D18" s="6">
        <f>440</f>
        <v>440</v>
      </c>
      <c r="E18" s="23"/>
      <c r="F18" s="6">
        <v>456</v>
      </c>
      <c r="G18" s="23"/>
      <c r="H18" s="5"/>
      <c r="I18" s="5" t="s">
        <v>20</v>
      </c>
      <c r="J18" s="14">
        <f>SUM(J14:J17)</f>
        <v>14180</v>
      </c>
      <c r="K18" s="24">
        <f>J18/J$25</f>
        <v>0.43681843386112995</v>
      </c>
      <c r="L18" s="14">
        <f>SUM(L14:L17)</f>
        <v>15469</v>
      </c>
      <c r="M18" s="24">
        <f>L18/L$25</f>
        <v>0.50761304718776667</v>
      </c>
      <c r="N18" s="3"/>
    </row>
    <row r="19" spans="1:14">
      <c r="A19" s="102"/>
      <c r="B19" s="3"/>
      <c r="C19" s="3" t="s">
        <v>106</v>
      </c>
      <c r="D19" s="6">
        <f>158+85+1994</f>
        <v>2237</v>
      </c>
      <c r="E19" s="23"/>
      <c r="F19" s="6">
        <f>1785+122+147</f>
        <v>2054</v>
      </c>
      <c r="G19" s="23"/>
      <c r="H19" s="3"/>
      <c r="I19" s="3" t="s">
        <v>111</v>
      </c>
      <c r="J19" s="80">
        <v>751</v>
      </c>
      <c r="K19" s="22"/>
      <c r="L19" s="80">
        <v>0</v>
      </c>
      <c r="M19" s="22"/>
      <c r="N19" s="3"/>
    </row>
    <row r="20" spans="1:14">
      <c r="A20" s="102"/>
      <c r="B20" s="3"/>
      <c r="C20" s="3" t="s">
        <v>107</v>
      </c>
      <c r="D20" s="6">
        <v>1099</v>
      </c>
      <c r="E20" s="23"/>
      <c r="F20" s="6">
        <v>953</v>
      </c>
      <c r="G20" s="23"/>
      <c r="H20" s="3"/>
      <c r="I20" s="3" t="s">
        <v>19</v>
      </c>
      <c r="J20" s="80">
        <v>1075</v>
      </c>
      <c r="K20" s="22"/>
      <c r="L20" s="80">
        <v>953</v>
      </c>
      <c r="M20" s="22"/>
      <c r="N20" s="3"/>
    </row>
    <row r="21" spans="1:14">
      <c r="A21" s="102"/>
      <c r="B21" s="3"/>
      <c r="C21" s="81" t="s">
        <v>108</v>
      </c>
      <c r="D21" s="83">
        <v>10</v>
      </c>
      <c r="E21" s="25"/>
      <c r="F21" s="83">
        <v>89</v>
      </c>
      <c r="G21" s="30"/>
      <c r="H21" s="3"/>
      <c r="I21" s="3" t="s">
        <v>18</v>
      </c>
      <c r="J21" s="80">
        <f>130+458</f>
        <v>588</v>
      </c>
      <c r="K21" s="22"/>
      <c r="L21" s="80">
        <v>594</v>
      </c>
      <c r="M21" s="22"/>
      <c r="N21" s="3"/>
    </row>
    <row r="22" spans="1:14">
      <c r="A22" s="102"/>
      <c r="B22" s="3"/>
      <c r="C22" s="5" t="s">
        <v>17</v>
      </c>
      <c r="D22" s="7">
        <f>SUM(D15:D21)</f>
        <v>8936</v>
      </c>
      <c r="E22" s="24">
        <f>D22/D$25</f>
        <v>0.27527570698046949</v>
      </c>
      <c r="F22" s="7">
        <f>SUM(F15:F21)</f>
        <v>8247</v>
      </c>
      <c r="G22" s="24">
        <f>F22/F$25</f>
        <v>0.27062413860996259</v>
      </c>
      <c r="H22" s="3"/>
      <c r="I22" s="3" t="s">
        <v>69</v>
      </c>
      <c r="J22" s="80">
        <v>4847</v>
      </c>
      <c r="K22" s="24">
        <f>J22/J$25</f>
        <v>0.1493130429425174</v>
      </c>
      <c r="L22" s="80">
        <v>4635</v>
      </c>
      <c r="M22" s="24">
        <f>L22/L$25</f>
        <v>0.15209686946249262</v>
      </c>
      <c r="N22" s="3"/>
    </row>
    <row r="23" spans="1:14">
      <c r="A23" s="102"/>
      <c r="B23" s="3"/>
      <c r="C23" s="5"/>
      <c r="D23" s="7" t="s">
        <v>21</v>
      </c>
      <c r="E23" s="26"/>
      <c r="F23" s="7"/>
      <c r="G23" s="26"/>
      <c r="H23" s="3"/>
      <c r="I23" s="3" t="s">
        <v>68</v>
      </c>
      <c r="J23" s="82">
        <f>136+1221+918+2901</f>
        <v>5176</v>
      </c>
      <c r="K23" s="25"/>
      <c r="L23" s="82">
        <f>26+228+766+924+2848</f>
        <v>4792</v>
      </c>
      <c r="M23" s="25"/>
      <c r="N23" s="3"/>
    </row>
    <row r="24" spans="1:14">
      <c r="A24" s="102"/>
      <c r="B24" s="3"/>
      <c r="C24" s="5"/>
      <c r="D24" s="7"/>
      <c r="E24" s="26"/>
      <c r="F24" s="7"/>
      <c r="G24" s="26"/>
      <c r="H24" s="3"/>
      <c r="I24" s="5" t="s">
        <v>75</v>
      </c>
      <c r="J24" s="14">
        <f>SUM(J19:J23)</f>
        <v>12437</v>
      </c>
      <c r="K24" s="24">
        <f>J24/J$25</f>
        <v>0.38312488448031545</v>
      </c>
      <c r="L24" s="14">
        <f>SUM(L19:L23)</f>
        <v>10974</v>
      </c>
      <c r="M24" s="24">
        <f>L24/L$25</f>
        <v>0.36011025792478835</v>
      </c>
      <c r="N24" s="3"/>
    </row>
    <row r="25" spans="1:14">
      <c r="A25" s="3"/>
      <c r="B25" s="3"/>
      <c r="C25" s="8" t="s">
        <v>4</v>
      </c>
      <c r="D25" s="9">
        <f>D12+D22</f>
        <v>32462</v>
      </c>
      <c r="E25" s="27">
        <f>D25/D$25</f>
        <v>1</v>
      </c>
      <c r="F25" s="9">
        <f>F12+F22</f>
        <v>30474</v>
      </c>
      <c r="G25" s="27">
        <f>F25/F$25</f>
        <v>1</v>
      </c>
      <c r="H25" s="3"/>
      <c r="I25" s="8" t="s">
        <v>5</v>
      </c>
      <c r="J25" s="9">
        <f>J13+J18+J24</f>
        <v>32462</v>
      </c>
      <c r="K25" s="27">
        <f>J25/J$25</f>
        <v>1</v>
      </c>
      <c r="L25" s="9">
        <f>L13+L18+L24</f>
        <v>30474</v>
      </c>
      <c r="M25" s="27">
        <f>L25/L$25</f>
        <v>1</v>
      </c>
      <c r="N25" s="3"/>
    </row>
    <row r="26" spans="1:14">
      <c r="A26" s="3"/>
      <c r="B26" s="3"/>
      <c r="C26" s="3"/>
      <c r="D26" s="6"/>
      <c r="E26" s="23"/>
      <c r="F26" s="6"/>
      <c r="G26" s="21"/>
      <c r="H26" s="3"/>
      <c r="I26" s="3"/>
      <c r="J26" s="4"/>
      <c r="K26" s="22"/>
      <c r="L26" s="4"/>
      <c r="M26" s="21"/>
      <c r="N26" s="3"/>
    </row>
    <row r="27" spans="1:14">
      <c r="A27" s="3"/>
      <c r="B27" s="10"/>
      <c r="C27" s="10"/>
      <c r="D27" s="11"/>
      <c r="E27" s="31"/>
      <c r="F27" s="11" t="s">
        <v>21</v>
      </c>
      <c r="G27" s="21"/>
      <c r="H27" s="3"/>
      <c r="I27" s="3"/>
      <c r="J27" s="3" t="s">
        <v>21</v>
      </c>
      <c r="K27" s="21"/>
      <c r="L27" s="3"/>
      <c r="M27" s="3"/>
      <c r="N27" s="3"/>
    </row>
    <row r="28" spans="1:14">
      <c r="A28" s="3"/>
      <c r="B28" s="12"/>
      <c r="C28" s="12"/>
      <c r="D28" s="12"/>
      <c r="E28" s="32"/>
      <c r="F28" s="12"/>
      <c r="G28" s="21"/>
      <c r="H28" s="3"/>
      <c r="I28" s="3"/>
      <c r="J28" s="3"/>
      <c r="K28" s="21"/>
      <c r="L28" s="3"/>
      <c r="M28" s="3"/>
      <c r="N28" s="3"/>
    </row>
    <row r="29" spans="1:14">
      <c r="A29" s="3"/>
      <c r="B29" s="13"/>
      <c r="C29" s="12"/>
      <c r="D29" s="12"/>
      <c r="E29" s="32"/>
      <c r="F29" s="12"/>
      <c r="G29" s="21"/>
      <c r="H29" s="3"/>
      <c r="I29" s="3"/>
      <c r="J29" s="3"/>
      <c r="K29" s="21"/>
      <c r="L29" s="3"/>
      <c r="M29" s="3"/>
      <c r="N29" s="3"/>
    </row>
    <row r="30" spans="1:14">
      <c r="A30" s="3"/>
      <c r="B30" s="12"/>
      <c r="C30" s="12"/>
      <c r="D30" s="12"/>
      <c r="E30" s="32"/>
      <c r="F30" s="12"/>
      <c r="G30" s="21"/>
      <c r="H30" s="3"/>
      <c r="I30" s="3"/>
      <c r="J30" s="3"/>
      <c r="K30" s="21"/>
      <c r="L30" s="3"/>
      <c r="M30" s="3"/>
      <c r="N30" s="3"/>
    </row>
  </sheetData>
  <mergeCells count="7">
    <mergeCell ref="A14:A16"/>
    <mergeCell ref="A17:A24"/>
    <mergeCell ref="B1:M1"/>
    <mergeCell ref="B2:G2"/>
    <mergeCell ref="B3:C3"/>
    <mergeCell ref="H3:I3"/>
    <mergeCell ref="A3:A10"/>
  </mergeCells>
  <phoneticPr fontId="14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2" sqref="A2:D34"/>
    </sheetView>
  </sheetViews>
  <sheetFormatPr baseColWidth="10" defaultRowHeight="15" x14ac:dyDescent="0"/>
  <cols>
    <col min="1" max="1" width="38.83203125" style="33" customWidth="1"/>
    <col min="2" max="2" width="13.33203125" style="33" customWidth="1"/>
    <col min="3" max="3" width="0.1640625" style="33" hidden="1" customWidth="1"/>
    <col min="4" max="4" width="10.83203125" style="33" customWidth="1"/>
    <col min="5" max="5" width="6" style="33" hidden="1" customWidth="1"/>
    <col min="6" max="6" width="3.6640625" style="33" customWidth="1"/>
    <col min="7" max="7" width="6.1640625" style="33" hidden="1" customWidth="1"/>
  </cols>
  <sheetData>
    <row r="1" spans="1:8" ht="24" thickBot="1">
      <c r="B1" s="59" t="s">
        <v>59</v>
      </c>
    </row>
    <row r="2" spans="1:8" ht="46" thickBot="1">
      <c r="A2" s="60" t="s">
        <v>6</v>
      </c>
      <c r="B2" s="61" t="s">
        <v>58</v>
      </c>
      <c r="C2" s="61"/>
      <c r="D2" s="62" t="s">
        <v>1</v>
      </c>
      <c r="E2" s="19"/>
      <c r="G2" s="63" t="s">
        <v>10</v>
      </c>
    </row>
    <row r="3" spans="1:8">
      <c r="A3" s="64"/>
      <c r="B3" s="65"/>
      <c r="C3" s="65"/>
      <c r="D3" s="65"/>
      <c r="E3" s="19"/>
    </row>
    <row r="4" spans="1:8" ht="15" customHeight="1">
      <c r="A4" s="71" t="s">
        <v>22</v>
      </c>
      <c r="B4" s="72">
        <v>25322</v>
      </c>
      <c r="C4" s="72"/>
      <c r="D4" s="72">
        <v>24388</v>
      </c>
      <c r="E4" s="19"/>
      <c r="G4" s="51">
        <f>B4/(D4)-1</f>
        <v>3.8297523372150311E-2</v>
      </c>
    </row>
    <row r="5" spans="1:8">
      <c r="A5" s="71" t="s">
        <v>23</v>
      </c>
      <c r="B5" s="72">
        <v>6734</v>
      </c>
      <c r="C5" s="72"/>
      <c r="D5" s="72">
        <v>5623</v>
      </c>
      <c r="E5" s="19"/>
      <c r="G5" s="51"/>
    </row>
    <row r="6" spans="1:8">
      <c r="A6" s="71" t="s">
        <v>24</v>
      </c>
      <c r="B6" s="72">
        <v>203</v>
      </c>
      <c r="C6" s="72"/>
      <c r="D6" s="72">
        <v>212</v>
      </c>
      <c r="E6" s="19"/>
      <c r="G6" s="51"/>
    </row>
    <row r="7" spans="1:8">
      <c r="A7" s="71" t="s">
        <v>25</v>
      </c>
      <c r="B7" s="72">
        <v>2832</v>
      </c>
      <c r="C7" s="72"/>
      <c r="D7" s="72">
        <v>1890</v>
      </c>
      <c r="E7" s="19"/>
      <c r="G7" s="51"/>
    </row>
    <row r="8" spans="1:8">
      <c r="A8" s="71" t="s">
        <v>9</v>
      </c>
      <c r="B8" s="73">
        <f>SUM(B4:B7)</f>
        <v>35091</v>
      </c>
      <c r="C8" s="74">
        <f>B8/B$8</f>
        <v>1</v>
      </c>
      <c r="D8" s="73">
        <f>SUM(D4:D7)</f>
        <v>32113</v>
      </c>
      <c r="E8" s="16">
        <f>D8/D$8</f>
        <v>1</v>
      </c>
      <c r="G8" s="51">
        <f>B8/(D8)-1</f>
        <v>9.2735029427334803E-2</v>
      </c>
    </row>
    <row r="9" spans="1:8">
      <c r="A9" s="64"/>
      <c r="B9" s="66"/>
      <c r="C9" s="15"/>
      <c r="D9" s="66"/>
      <c r="E9" s="15"/>
      <c r="G9" s="51"/>
    </row>
    <row r="10" spans="1:8">
      <c r="A10" s="75" t="s">
        <v>62</v>
      </c>
      <c r="B10" s="76">
        <v>-17640</v>
      </c>
      <c r="C10" s="77">
        <f>B10/B$8</f>
        <v>-0.50269299820466784</v>
      </c>
      <c r="D10" s="76">
        <v>-17283</v>
      </c>
      <c r="E10" s="17">
        <f>D10/D$8</f>
        <v>-0.53819325506804094</v>
      </c>
      <c r="G10" s="51">
        <f>B10/(D10)-1</f>
        <v>2.0656136087484844E-2</v>
      </c>
    </row>
    <row r="11" spans="1:8">
      <c r="A11" s="64"/>
      <c r="B11" s="66"/>
      <c r="C11" s="15"/>
      <c r="D11" s="66"/>
      <c r="E11" s="15"/>
      <c r="G11" s="51"/>
    </row>
    <row r="12" spans="1:8">
      <c r="A12" s="67" t="s">
        <v>61</v>
      </c>
      <c r="B12" s="68">
        <f>SUM(B8:B10)</f>
        <v>17451</v>
      </c>
      <c r="C12" s="17">
        <f>B12/B$8</f>
        <v>0.49730700179533216</v>
      </c>
      <c r="D12" s="68">
        <f>SUM(D8:D10)</f>
        <v>14830</v>
      </c>
      <c r="E12" s="17">
        <f>D12/D$8</f>
        <v>0.461806744931959</v>
      </c>
      <c r="G12" s="51">
        <f>B12/(D12)-1</f>
        <v>0.17673634524612281</v>
      </c>
    </row>
    <row r="13" spans="1:8">
      <c r="A13" s="64"/>
      <c r="B13" s="66"/>
      <c r="C13" s="15"/>
      <c r="D13" s="66"/>
      <c r="E13" s="15"/>
      <c r="G13" s="51"/>
      <c r="H13" t="s">
        <v>21</v>
      </c>
    </row>
    <row r="14" spans="1:8">
      <c r="A14" s="71" t="s">
        <v>26</v>
      </c>
      <c r="B14" s="72">
        <v>-8075</v>
      </c>
      <c r="C14" s="77">
        <f>B14/B$8</f>
        <v>-0.23011598415548146</v>
      </c>
      <c r="D14" s="72">
        <v>-7335</v>
      </c>
      <c r="E14" s="17">
        <f>D14/D$8</f>
        <v>-0.22841216952636004</v>
      </c>
      <c r="G14" s="51">
        <f>(B14/(D14)-1)</f>
        <v>0.10088616223585545</v>
      </c>
    </row>
    <row r="15" spans="1:8" ht="15" customHeight="1">
      <c r="A15" s="71" t="s">
        <v>27</v>
      </c>
      <c r="B15" s="72">
        <v>-1715</v>
      </c>
      <c r="C15" s="77">
        <f>B15/B$8</f>
        <v>-4.8872930381009379E-2</v>
      </c>
      <c r="D15" s="72">
        <v>-1528</v>
      </c>
      <c r="E15" s="17">
        <f>D15/D$8</f>
        <v>-4.7581976146731854E-2</v>
      </c>
      <c r="G15" s="51">
        <f>B15/(D15)-1</f>
        <v>0.1223821989528795</v>
      </c>
    </row>
    <row r="16" spans="1:8">
      <c r="A16" s="71" t="s">
        <v>28</v>
      </c>
      <c r="B16" s="72">
        <v>-6106</v>
      </c>
      <c r="C16" s="77">
        <f>B16/B$8</f>
        <v>-0.17400473055769286</v>
      </c>
      <c r="D16" s="72">
        <v>-5088</v>
      </c>
      <c r="E16" s="17">
        <f>D16/D$8</f>
        <v>-0.15844050695979822</v>
      </c>
      <c r="G16" s="51">
        <f>(B16/(D16)-1)*-1</f>
        <v>-0.20007861635220126</v>
      </c>
    </row>
    <row r="17" spans="1:7">
      <c r="A17" s="64"/>
      <c r="B17" s="66"/>
      <c r="C17" s="15"/>
      <c r="D17" s="66"/>
      <c r="E17" s="15"/>
      <c r="G17" s="51"/>
    </row>
    <row r="18" spans="1:7">
      <c r="A18" s="67" t="s">
        <v>45</v>
      </c>
      <c r="B18" s="68">
        <f>SUM(B12:B16)</f>
        <v>1555</v>
      </c>
      <c r="C18" s="17">
        <f>B18/B$8</f>
        <v>4.4313356701148443E-2</v>
      </c>
      <c r="D18" s="68">
        <f>SUM(D12:D16)</f>
        <v>879</v>
      </c>
      <c r="E18" s="17">
        <f>D18/D$8</f>
        <v>2.7372092299068913E-2</v>
      </c>
      <c r="G18" s="51">
        <f>B18/(D18)-1</f>
        <v>0.76905574516496022</v>
      </c>
    </row>
    <row r="19" spans="1:7">
      <c r="A19" s="64"/>
      <c r="B19" s="66"/>
      <c r="C19" s="15"/>
      <c r="D19" s="66"/>
      <c r="E19" s="15"/>
      <c r="G19" s="51"/>
    </row>
    <row r="20" spans="1:7" ht="15" customHeight="1">
      <c r="A20" s="78" t="s">
        <v>63</v>
      </c>
      <c r="B20" s="79">
        <f>111+10</f>
        <v>121</v>
      </c>
      <c r="C20" s="72"/>
      <c r="D20" s="79">
        <f>77+44</f>
        <v>121</v>
      </c>
      <c r="E20" s="15"/>
      <c r="G20" s="51"/>
    </row>
    <row r="21" spans="1:7">
      <c r="A21" s="78" t="s">
        <v>64</v>
      </c>
      <c r="B21" s="79">
        <v>186</v>
      </c>
      <c r="C21" s="72"/>
      <c r="D21" s="79">
        <v>159</v>
      </c>
      <c r="E21" s="15"/>
      <c r="G21" s="51">
        <f>B21/(D21)-1</f>
        <v>0.16981132075471694</v>
      </c>
    </row>
    <row r="22" spans="1:7">
      <c r="A22" s="78" t="s">
        <v>65</v>
      </c>
      <c r="B22" s="79">
        <v>-356</v>
      </c>
      <c r="C22" s="72"/>
      <c r="D22" s="79">
        <v>-415</v>
      </c>
      <c r="E22" s="15"/>
      <c r="G22" s="51">
        <f>(B22/(D22)-1)*-1</f>
        <v>0.14216867469879513</v>
      </c>
    </row>
    <row r="23" spans="1:7">
      <c r="A23" s="78" t="s">
        <v>66</v>
      </c>
      <c r="B23" s="79">
        <v>520</v>
      </c>
      <c r="C23" s="72"/>
      <c r="D23" s="79">
        <v>-564</v>
      </c>
      <c r="E23" s="15"/>
      <c r="G23" s="51" t="s">
        <v>21</v>
      </c>
    </row>
    <row r="24" spans="1:7">
      <c r="A24" s="64"/>
      <c r="B24" s="66"/>
      <c r="C24" s="15"/>
      <c r="D24" s="66"/>
      <c r="E24" s="15"/>
      <c r="G24" s="51"/>
    </row>
    <row r="25" spans="1:7">
      <c r="A25" s="67" t="s">
        <v>29</v>
      </c>
      <c r="B25" s="68">
        <f>SUM(B20:B23)</f>
        <v>471</v>
      </c>
      <c r="C25" s="17">
        <f>B25/B$8</f>
        <v>1.3422245020090621E-2</v>
      </c>
      <c r="D25" s="68">
        <f>SUM(D20:D24)</f>
        <v>-699</v>
      </c>
      <c r="E25" s="17">
        <f>D25/D$8</f>
        <v>-2.1766885684925109E-2</v>
      </c>
      <c r="G25" s="51">
        <f>(B25/(D25)-1)*-1</f>
        <v>1.6738197424892705</v>
      </c>
    </row>
    <row r="26" spans="1:7">
      <c r="A26" s="64"/>
      <c r="B26" s="66"/>
      <c r="C26" s="15"/>
      <c r="D26" s="66"/>
      <c r="E26" s="15"/>
      <c r="G26" s="51"/>
    </row>
    <row r="27" spans="1:7">
      <c r="A27" s="67" t="s">
        <v>52</v>
      </c>
      <c r="B27" s="68">
        <f>B18+B25</f>
        <v>2026</v>
      </c>
      <c r="C27" s="17">
        <f>B27/B$8</f>
        <v>5.7735601721239066E-2</v>
      </c>
      <c r="D27" s="68">
        <f>D18+D25</f>
        <v>180</v>
      </c>
      <c r="E27" s="17">
        <f>D27/D$8</f>
        <v>5.605206614143805E-3</v>
      </c>
      <c r="G27" s="51">
        <f>B27/(D27)-1</f>
        <v>10.255555555555556</v>
      </c>
    </row>
    <row r="28" spans="1:7">
      <c r="A28" s="69"/>
      <c r="B28" s="18"/>
      <c r="C28" s="18"/>
      <c r="D28" s="18"/>
      <c r="E28" s="18"/>
      <c r="G28" s="51"/>
    </row>
    <row r="29" spans="1:7">
      <c r="A29" s="71" t="s">
        <v>30</v>
      </c>
      <c r="B29" s="72">
        <v>-304</v>
      </c>
      <c r="C29" s="72"/>
      <c r="D29" s="72">
        <v>-105</v>
      </c>
      <c r="E29" s="15"/>
      <c r="G29" s="51"/>
    </row>
    <row r="30" spans="1:7">
      <c r="A30" s="64"/>
      <c r="B30" s="66"/>
      <c r="C30" s="15"/>
      <c r="D30" s="66"/>
      <c r="E30" s="15"/>
      <c r="G30" s="51"/>
    </row>
    <row r="31" spans="1:7">
      <c r="A31" s="67" t="s">
        <v>33</v>
      </c>
      <c r="B31" s="68">
        <f>SUM(B27:B29)</f>
        <v>1722</v>
      </c>
      <c r="C31" s="17">
        <f>B31/B$8</f>
        <v>4.9072411729503294E-2</v>
      </c>
      <c r="D31" s="68">
        <f>SUM(D27:D29)</f>
        <v>75</v>
      </c>
      <c r="E31" s="17">
        <f>D31/D$8</f>
        <v>2.3355027558932518E-3</v>
      </c>
      <c r="G31" s="51">
        <f>B31/(D31)-1</f>
        <v>21.96</v>
      </c>
    </row>
    <row r="32" spans="1:7">
      <c r="A32" s="64"/>
      <c r="B32" s="66"/>
      <c r="C32" s="15"/>
      <c r="D32" s="66"/>
      <c r="E32" s="15"/>
      <c r="G32" s="51" t="s">
        <v>21</v>
      </c>
    </row>
    <row r="33" spans="1:7">
      <c r="A33" s="71" t="s">
        <v>31</v>
      </c>
      <c r="B33" s="72">
        <v>24</v>
      </c>
      <c r="C33" s="72"/>
      <c r="D33" s="72">
        <v>20</v>
      </c>
      <c r="E33" s="15"/>
      <c r="G33" s="51"/>
    </row>
    <row r="34" spans="1:7">
      <c r="A34" s="71" t="s">
        <v>32</v>
      </c>
      <c r="B34" s="72">
        <f>B31-B33</f>
        <v>1698</v>
      </c>
      <c r="C34" s="72"/>
      <c r="D34" s="72">
        <f>D31-D33</f>
        <v>55</v>
      </c>
      <c r="E34" s="15"/>
      <c r="G34" s="51"/>
    </row>
    <row r="35" spans="1:7">
      <c r="A35" s="64"/>
      <c r="B35" s="64" t="s">
        <v>21</v>
      </c>
      <c r="C35" s="64"/>
      <c r="D35" s="64" t="s">
        <v>21</v>
      </c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>
      <c r="A37" s="64"/>
      <c r="B37" s="64"/>
      <c r="C37" s="64"/>
      <c r="D37" s="64"/>
      <c r="E37" s="64"/>
      <c r="F37" s="64"/>
      <c r="G37" s="64"/>
    </row>
    <row r="38" spans="1:7">
      <c r="A38" s="64"/>
      <c r="B38" s="64"/>
      <c r="C38" s="64"/>
      <c r="D38" s="64"/>
      <c r="E38" s="64"/>
      <c r="F38" s="64"/>
      <c r="G38" s="64"/>
    </row>
    <row r="39" spans="1:7">
      <c r="A39" s="64"/>
      <c r="B39" s="64"/>
      <c r="C39" s="64"/>
      <c r="D39" s="64"/>
      <c r="E39" s="64"/>
      <c r="F39" s="64"/>
      <c r="G39" s="64"/>
    </row>
    <row r="40" spans="1:7">
      <c r="A40" s="64"/>
      <c r="B40" s="64"/>
      <c r="C40" s="64"/>
      <c r="D40" s="64"/>
      <c r="E40" s="64"/>
      <c r="F40" s="64"/>
      <c r="G40" s="64"/>
    </row>
    <row r="41" spans="1:7">
      <c r="A41" s="64"/>
      <c r="B41" s="64"/>
      <c r="C41" s="64"/>
      <c r="D41" s="64"/>
      <c r="E41" s="64"/>
      <c r="F41" s="64"/>
      <c r="G41" s="64"/>
    </row>
    <row r="42" spans="1:7">
      <c r="A42" s="64"/>
      <c r="B42" s="64"/>
      <c r="C42" s="64"/>
      <c r="D42" s="64"/>
      <c r="E42" s="64"/>
      <c r="F42" s="64"/>
      <c r="G42" s="64"/>
    </row>
    <row r="43" spans="1:7">
      <c r="A43" s="64"/>
      <c r="B43" s="64"/>
      <c r="C43" s="64"/>
      <c r="D43" s="64"/>
      <c r="E43" s="64"/>
      <c r="F43" s="64"/>
      <c r="G43" s="64"/>
    </row>
    <row r="44" spans="1:7">
      <c r="A44" s="64"/>
      <c r="B44" s="64"/>
      <c r="C44" s="64"/>
      <c r="D44" s="64"/>
      <c r="E44" s="64"/>
      <c r="F44" s="64"/>
      <c r="G44" s="64"/>
    </row>
    <row r="45" spans="1:7">
      <c r="A45" s="64"/>
      <c r="B45" s="19"/>
      <c r="C45" s="19"/>
      <c r="D45" s="19"/>
      <c r="E45" s="19"/>
    </row>
    <row r="46" spans="1:7">
      <c r="A46" s="64"/>
      <c r="B46" s="19"/>
      <c r="C46" s="19"/>
      <c r="D46" s="19"/>
      <c r="E46" s="19"/>
    </row>
    <row r="47" spans="1:7">
      <c r="A47" s="64"/>
      <c r="B47" s="19"/>
      <c r="C47" s="19"/>
      <c r="D47" s="19"/>
      <c r="E47" s="19"/>
    </row>
    <row r="48" spans="1:7">
      <c r="A48" s="64"/>
      <c r="B48" s="19"/>
      <c r="C48" s="19"/>
      <c r="D48" s="19"/>
      <c r="E48" s="19"/>
    </row>
    <row r="49" spans="1:5">
      <c r="A49" s="64"/>
      <c r="B49" s="19"/>
      <c r="C49" s="19"/>
      <c r="D49" s="19"/>
      <c r="E49" s="19"/>
    </row>
    <row r="50" spans="1:5">
      <c r="A50" s="64"/>
      <c r="B50" s="19"/>
      <c r="C50" s="19"/>
      <c r="D50" s="19"/>
      <c r="E50" s="19"/>
    </row>
    <row r="51" spans="1:5">
      <c r="A51" s="64"/>
      <c r="B51" s="19"/>
      <c r="C51" s="19"/>
      <c r="D51" s="19"/>
      <c r="E51" s="19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workbookViewId="0">
      <selection activeCell="I16" sqref="I16"/>
    </sheetView>
  </sheetViews>
  <sheetFormatPr baseColWidth="10" defaultRowHeight="15" x14ac:dyDescent="0"/>
  <cols>
    <col min="1" max="1" width="11.33203125" style="33" customWidth="1"/>
    <col min="2" max="2" width="12.33203125" style="33" customWidth="1"/>
    <col min="3" max="3" width="7.1640625" style="33" customWidth="1"/>
    <col min="4" max="7" width="10.83203125" style="33"/>
  </cols>
  <sheetData>
    <row r="1" spans="1:7">
      <c r="A1" s="33" t="s">
        <v>85</v>
      </c>
      <c r="B1" s="33" t="s">
        <v>144</v>
      </c>
    </row>
    <row r="2" spans="1:7">
      <c r="A2" s="38">
        <v>1</v>
      </c>
      <c r="B2" s="36" t="s">
        <v>22</v>
      </c>
      <c r="C2" s="39">
        <f>'GuV Lufthansa'!G4</f>
        <v>3.8297523372150311E-2</v>
      </c>
      <c r="D2" s="36" t="s">
        <v>113</v>
      </c>
      <c r="G2" s="33">
        <v>2</v>
      </c>
    </row>
    <row r="3" spans="1:7">
      <c r="A3" s="38">
        <v>2</v>
      </c>
      <c r="B3" s="36" t="s">
        <v>26</v>
      </c>
      <c r="C3" s="39">
        <f>'GuV Lufthansa'!G14</f>
        <v>0.10088616223585545</v>
      </c>
      <c r="D3" s="36" t="s">
        <v>114</v>
      </c>
    </row>
    <row r="4" spans="1:7">
      <c r="A4" s="38">
        <v>3</v>
      </c>
      <c r="B4" s="36" t="s">
        <v>112</v>
      </c>
      <c r="C4" s="39">
        <f>'GuV Lufthansa'!G27</f>
        <v>10.255555555555556</v>
      </c>
      <c r="D4" s="36" t="s">
        <v>115</v>
      </c>
    </row>
    <row r="5" spans="1:7">
      <c r="A5" s="36">
        <v>4</v>
      </c>
      <c r="B5" s="36" t="s">
        <v>7</v>
      </c>
      <c r="C5" s="58">
        <f>('Bilanz Lufthansa'!D7/'Bilanz Lufthansa'!F7)-1</f>
        <v>8.2796468623240305E-2</v>
      </c>
      <c r="D5" s="36" t="s">
        <v>126</v>
      </c>
    </row>
    <row r="6" spans="1:7">
      <c r="A6" s="36">
        <v>5</v>
      </c>
      <c r="B6" s="36" t="s">
        <v>70</v>
      </c>
      <c r="C6" s="58">
        <f>('Bilanz Lufthansa'!J13/'Bilanz Lufthansa'!L13)-1</f>
        <v>0.45001240387000752</v>
      </c>
      <c r="D6" s="36" t="s">
        <v>127</v>
      </c>
    </row>
    <row r="7" spans="1:7">
      <c r="A7" s="36">
        <v>6</v>
      </c>
      <c r="B7" s="36" t="s">
        <v>128</v>
      </c>
      <c r="C7" s="58" t="s">
        <v>129</v>
      </c>
      <c r="D7" s="36" t="s">
        <v>130</v>
      </c>
    </row>
    <row r="9" spans="1:7">
      <c r="A9" s="37" t="s">
        <v>78</v>
      </c>
      <c r="B9" s="40">
        <f>'Bilanz Lufthansa'!D12/'Bilanz Lufthansa'!D25</f>
        <v>0.72472429301953056</v>
      </c>
      <c r="C9" s="36"/>
      <c r="D9" s="36"/>
    </row>
    <row r="10" spans="1:7">
      <c r="A10" s="36" t="s">
        <v>47</v>
      </c>
      <c r="B10" s="36"/>
      <c r="C10" s="36"/>
      <c r="D10" s="36"/>
    </row>
    <row r="11" spans="1:7">
      <c r="A11" s="36" t="s">
        <v>116</v>
      </c>
    </row>
    <row r="12" spans="1:7">
      <c r="A12" s="36" t="s">
        <v>86</v>
      </c>
    </row>
    <row r="13" spans="1:7">
      <c r="A13" s="37" t="s">
        <v>80</v>
      </c>
      <c r="B13" s="37" t="s">
        <v>53</v>
      </c>
      <c r="C13" s="41">
        <f>'GuV Lufthansa'!B27+'GuV Lufthansa'!B15*-1</f>
        <v>3741</v>
      </c>
      <c r="D13" s="36"/>
      <c r="G13" s="33">
        <v>2</v>
      </c>
    </row>
    <row r="14" spans="1:7">
      <c r="A14" s="36" t="s">
        <v>51</v>
      </c>
      <c r="B14" s="36"/>
      <c r="C14" s="36"/>
      <c r="D14" s="36"/>
    </row>
    <row r="15" spans="1:7">
      <c r="A15" s="36" t="s">
        <v>50</v>
      </c>
    </row>
    <row r="17" spans="1:7">
      <c r="A17" s="36" t="s">
        <v>87</v>
      </c>
    </row>
    <row r="18" spans="1:7">
      <c r="A18" s="37" t="s">
        <v>81</v>
      </c>
      <c r="B18" s="37"/>
      <c r="C18" s="37"/>
      <c r="D18" s="42" t="s">
        <v>46</v>
      </c>
    </row>
    <row r="19" spans="1:7">
      <c r="A19" s="43" t="s">
        <v>34</v>
      </c>
      <c r="B19" s="43" t="s">
        <v>38</v>
      </c>
      <c r="C19" s="44">
        <f>'Bilanz Lufthansa'!J13/'Bilanz Lufthansa'!J25</f>
        <v>0.18005668165855462</v>
      </c>
      <c r="D19" s="45">
        <v>3</v>
      </c>
      <c r="G19" s="33">
        <v>3</v>
      </c>
    </row>
    <row r="20" spans="1:7">
      <c r="A20" s="43" t="s">
        <v>35</v>
      </c>
      <c r="B20" s="43" t="s">
        <v>39</v>
      </c>
      <c r="C20" s="46">
        <f>('Bilanz Lufthansa'!J24+'Bilanz Lufthansa'!J18-'Bilanz Lufthansa'!D20)/'Analyse Lufthansa'!C13</f>
        <v>6.8211708099438653</v>
      </c>
      <c r="D20" s="45">
        <v>3</v>
      </c>
      <c r="G20" s="33">
        <v>3</v>
      </c>
    </row>
    <row r="21" spans="1:7">
      <c r="A21" s="43" t="s">
        <v>36</v>
      </c>
      <c r="B21" s="43" t="s">
        <v>40</v>
      </c>
      <c r="C21" s="44">
        <f>C13/'GuV Lufthansa'!B4</f>
        <v>0.14773714556512124</v>
      </c>
      <c r="D21" s="85">
        <v>1</v>
      </c>
      <c r="G21" s="33">
        <v>3</v>
      </c>
    </row>
    <row r="22" spans="1:7">
      <c r="A22" s="43" t="s">
        <v>37</v>
      </c>
      <c r="B22" s="43" t="s">
        <v>41</v>
      </c>
      <c r="C22" s="47">
        <f>('GuV Lufthansa'!B27+'GuV Lufthansa'!B22*-1)/'Bilanz Lufthansa'!J25</f>
        <v>7.3378103628858354E-2</v>
      </c>
      <c r="D22" s="48">
        <v>4</v>
      </c>
      <c r="G22" s="33">
        <v>3</v>
      </c>
    </row>
    <row r="23" spans="1:7">
      <c r="A23" s="36"/>
    </row>
    <row r="24" spans="1:7">
      <c r="A24" s="36"/>
    </row>
    <row r="25" spans="1:7">
      <c r="A25" s="36"/>
    </row>
    <row r="26" spans="1:7">
      <c r="A26" s="36"/>
    </row>
    <row r="27" spans="1:7">
      <c r="A27" s="36"/>
    </row>
    <row r="28" spans="1:7">
      <c r="A28" s="36"/>
    </row>
    <row r="29" spans="1:7">
      <c r="A29" s="36" t="s">
        <v>133</v>
      </c>
      <c r="C29" s="33">
        <v>2015</v>
      </c>
      <c r="D29" s="33">
        <v>2014</v>
      </c>
    </row>
    <row r="30" spans="1:7">
      <c r="A30" s="37" t="s">
        <v>76</v>
      </c>
      <c r="B30" s="37" t="s">
        <v>54</v>
      </c>
      <c r="C30" s="40">
        <f>'GuV Lufthansa'!B18/'GuV Lufthansa'!B4</f>
        <v>6.1409051417739516E-2</v>
      </c>
      <c r="D30" s="40">
        <f>'GuV Lufthansa'!D18/'GuV Lufthansa'!D4</f>
        <v>3.6042315893062164E-2</v>
      </c>
      <c r="G30" s="33">
        <v>2</v>
      </c>
    </row>
    <row r="31" spans="1:7">
      <c r="A31" s="36" t="s">
        <v>55</v>
      </c>
      <c r="B31" s="36"/>
      <c r="C31" s="36"/>
    </row>
    <row r="32" spans="1:7">
      <c r="A32" s="37" t="s">
        <v>56</v>
      </c>
      <c r="B32" s="35"/>
      <c r="C32" s="49">
        <f>'GuV Lufthansa'!B18+(-'GuV Lufthansa'!B15)</f>
        <v>3270</v>
      </c>
      <c r="D32" s="49">
        <f>'GuV Lufthansa'!D18+(-'GuV Lufthansa'!D15)</f>
        <v>2407</v>
      </c>
      <c r="G32" s="33">
        <v>2</v>
      </c>
    </row>
    <row r="33" spans="1:8">
      <c r="A33" s="36" t="s">
        <v>117</v>
      </c>
    </row>
    <row r="34" spans="1:8">
      <c r="A34" s="36" t="s">
        <v>134</v>
      </c>
      <c r="C34" s="33">
        <v>2015</v>
      </c>
      <c r="D34" s="33">
        <v>2014</v>
      </c>
    </row>
    <row r="35" spans="1:8">
      <c r="A35" s="37" t="s">
        <v>79</v>
      </c>
      <c r="B35" s="37" t="s">
        <v>42</v>
      </c>
      <c r="C35" s="49">
        <f>'Bilanz Lufthansa'!D22-'Bilanz Lufthansa'!J24</f>
        <v>-3501</v>
      </c>
      <c r="D35" s="50">
        <f>'Bilanz Lufthansa'!F22-'Bilanz Lufthansa'!L24</f>
        <v>-2727</v>
      </c>
      <c r="G35" s="33">
        <v>2</v>
      </c>
    </row>
    <row r="36" spans="1:8">
      <c r="A36" s="36" t="s">
        <v>48</v>
      </c>
      <c r="B36" s="36"/>
      <c r="C36" s="36"/>
      <c r="D36" s="36"/>
    </row>
    <row r="37" spans="1:8">
      <c r="A37" s="36" t="s">
        <v>118</v>
      </c>
    </row>
    <row r="39" spans="1:8">
      <c r="A39" s="36"/>
      <c r="C39" s="33">
        <v>2015</v>
      </c>
      <c r="D39" s="33">
        <v>2014</v>
      </c>
    </row>
    <row r="40" spans="1:8">
      <c r="A40" s="37" t="s">
        <v>82</v>
      </c>
      <c r="B40" s="37" t="s">
        <v>83</v>
      </c>
      <c r="C40" s="40">
        <f>('Bilanz Lufthansa'!D20+'Bilanz Lufthansa'!D19+'Bilanz Lufthansa'!D18+'Bilanz Lufthansa'!D17)/'Bilanz Lufthansa'!J24</f>
        <v>0.65650880437404524</v>
      </c>
      <c r="D40" s="40">
        <f>('Bilanz Lufthansa'!F17+'Bilanz Lufthansa'!F18+'Bilanz Lufthansa'!F19+'Bilanz Lufthansa'!F20)/'Bilanz Lufthansa'!L24</f>
        <v>0.679606342263532</v>
      </c>
    </row>
    <row r="41" spans="1:8">
      <c r="A41" s="36" t="s">
        <v>84</v>
      </c>
      <c r="B41" s="36"/>
      <c r="C41" s="36"/>
      <c r="D41" s="36"/>
    </row>
    <row r="42" spans="1:8">
      <c r="A42" s="36" t="s">
        <v>119</v>
      </c>
    </row>
    <row r="43" spans="1:8">
      <c r="A43" s="36" t="s">
        <v>135</v>
      </c>
    </row>
    <row r="44" spans="1:8">
      <c r="A44" s="37" t="s">
        <v>44</v>
      </c>
      <c r="B44" s="37" t="s">
        <v>43</v>
      </c>
      <c r="C44" s="40">
        <f>('Bilanz Lufthansa'!J13+'Bilanz Lufthansa'!J18)/'Bilanz Lufthansa'!D12</f>
        <v>0.85118592195868403</v>
      </c>
      <c r="D44" s="36"/>
      <c r="G44" s="33">
        <v>2</v>
      </c>
    </row>
    <row r="45" spans="1:8">
      <c r="A45" s="36" t="s">
        <v>49</v>
      </c>
      <c r="B45" s="36"/>
      <c r="C45" s="36"/>
      <c r="D45" s="36"/>
      <c r="H45">
        <f>SUM(G1:G44)</f>
        <v>24</v>
      </c>
    </row>
    <row r="46" spans="1:8">
      <c r="A46" s="36" t="s">
        <v>120</v>
      </c>
    </row>
    <row r="48" spans="1:8">
      <c r="A48" s="36" t="s">
        <v>136</v>
      </c>
    </row>
    <row r="49" spans="1:7">
      <c r="A49" s="52" t="s">
        <v>70</v>
      </c>
      <c r="B49" s="86"/>
      <c r="D49" s="95" t="s">
        <v>145</v>
      </c>
      <c r="E49" s="96" t="s">
        <v>146</v>
      </c>
      <c r="F49" s="96" t="s">
        <v>147</v>
      </c>
    </row>
    <row r="50" spans="1:7">
      <c r="A50" s="89" t="str">
        <f>'Bilanz Lufthansa'!I6</f>
        <v>Grundkaptial</v>
      </c>
      <c r="B50" s="90">
        <f>'Bilanz Lufthansa'!J6</f>
        <v>1189</v>
      </c>
      <c r="D50" s="96" t="s">
        <v>148</v>
      </c>
      <c r="E50" s="97" t="s">
        <v>149</v>
      </c>
      <c r="F50" s="97" t="s">
        <v>150</v>
      </c>
      <c r="G50" s="33">
        <v>4</v>
      </c>
    </row>
    <row r="51" spans="1:7">
      <c r="A51" s="87" t="str">
        <f>'Bilanz Lufthansa'!I7</f>
        <v>Kapitalrücklagen</v>
      </c>
      <c r="B51" s="15">
        <f>'Bilanz Lufthansa'!J7</f>
        <v>187</v>
      </c>
      <c r="D51" s="96" t="s">
        <v>151</v>
      </c>
      <c r="E51" s="97" t="s">
        <v>152</v>
      </c>
      <c r="F51" s="97" t="s">
        <v>153</v>
      </c>
    </row>
    <row r="52" spans="1:7">
      <c r="A52" s="87" t="str">
        <f>'Bilanz Lufthansa'!I8</f>
        <v>Sonstige Rücklagen</v>
      </c>
      <c r="B52" s="15">
        <f>'Bilanz Lufthansa'!J8</f>
        <v>2694</v>
      </c>
      <c r="E52" s="33" t="s">
        <v>154</v>
      </c>
      <c r="F52" s="33" t="s">
        <v>155</v>
      </c>
    </row>
    <row r="53" spans="1:7" ht="20">
      <c r="A53" s="91" t="str">
        <f>'Bilanz Lufthansa'!I9</f>
        <v>Einbehaltene Ergebnisse</v>
      </c>
      <c r="B53" s="92">
        <f>'Bilanz Lufthansa'!J9</f>
        <v>1698</v>
      </c>
      <c r="C53" s="58">
        <f>B53/B$69</f>
        <v>5.2307313166163515E-2</v>
      </c>
      <c r="E53" s="98" t="s">
        <v>156</v>
      </c>
      <c r="F53" s="98" t="s">
        <v>157</v>
      </c>
      <c r="G53" s="33">
        <v>2</v>
      </c>
    </row>
    <row r="54" spans="1:7">
      <c r="A54" s="87">
        <f>'Bilanz Lufthansa'!I10</f>
        <v>0</v>
      </c>
      <c r="B54" s="15">
        <f>'Bilanz Lufthansa'!J10</f>
        <v>0</v>
      </c>
      <c r="C54" s="36"/>
      <c r="E54" s="33" t="s">
        <v>158</v>
      </c>
      <c r="F54" s="33" t="s">
        <v>159</v>
      </c>
    </row>
    <row r="55" spans="1:7" ht="20">
      <c r="A55" s="87" t="str">
        <f>'Bilanz Lufthansa'!I11</f>
        <v>Gesellschafter der Muttergesellschaft</v>
      </c>
      <c r="B55" s="15">
        <f>'Bilanz Lufthansa'!J11</f>
        <v>5768</v>
      </c>
      <c r="C55" s="36"/>
      <c r="E55" s="98" t="s">
        <v>160</v>
      </c>
      <c r="F55" s="98" t="s">
        <v>161</v>
      </c>
    </row>
    <row r="56" spans="1:7">
      <c r="A56" s="87" t="str">
        <f>'Bilanz Lufthansa'!I12</f>
        <v>davon nicht beherrschande Anteile</v>
      </c>
      <c r="B56" s="15">
        <f>'Bilanz Lufthansa'!J12</f>
        <v>77</v>
      </c>
      <c r="C56" s="36"/>
      <c r="E56" s="33" t="s">
        <v>162</v>
      </c>
      <c r="F56" s="33" t="s">
        <v>163</v>
      </c>
    </row>
    <row r="57" spans="1:7" ht="30">
      <c r="A57" s="52" t="s">
        <v>3</v>
      </c>
      <c r="B57" s="18">
        <f>B55+B56</f>
        <v>5845</v>
      </c>
      <c r="C57" s="70">
        <f>B57/B$69</f>
        <v>0.18005668165855462</v>
      </c>
      <c r="E57" s="108" t="s">
        <v>164</v>
      </c>
      <c r="F57" s="99" t="s">
        <v>165</v>
      </c>
    </row>
    <row r="58" spans="1:7" ht="20">
      <c r="A58" s="87" t="str">
        <f>'Bilanz Lufthansa'!I14</f>
        <v>Anleihen und Schuldscheindarlehen</v>
      </c>
      <c r="B58" s="88">
        <f>'Bilanz Lufthansa'!J14</f>
        <v>998</v>
      </c>
      <c r="C58" s="70">
        <f>B58/B$69</f>
        <v>3.0743638716037212E-2</v>
      </c>
      <c r="E58" s="109"/>
      <c r="F58" s="100" t="s">
        <v>166</v>
      </c>
    </row>
    <row r="59" spans="1:7">
      <c r="A59" s="54" t="str">
        <f>'Bilanz Lufthansa'!I15</f>
        <v>Rückstellungen</v>
      </c>
      <c r="B59" s="55">
        <f>'Bilanz Lufthansa'!J15</f>
        <v>7152</v>
      </c>
      <c r="C59" s="58">
        <f>B59/B$69</f>
        <v>0.22031914238186187</v>
      </c>
      <c r="E59" s="33" t="s">
        <v>167</v>
      </c>
      <c r="F59" s="33" t="s">
        <v>168</v>
      </c>
    </row>
    <row r="60" spans="1:7" ht="20">
      <c r="A60" s="87" t="str">
        <f>'Bilanz Lufthansa'!I16</f>
        <v>Finanzverbindlichkeiten</v>
      </c>
      <c r="B60" s="88">
        <f>'Bilanz Lufthansa'!J16</f>
        <v>5377</v>
      </c>
      <c r="C60" s="36"/>
      <c r="E60" s="98" t="s">
        <v>169</v>
      </c>
      <c r="F60" s="98" t="s">
        <v>170</v>
      </c>
    </row>
    <row r="61" spans="1:7">
      <c r="A61" s="87" t="str">
        <f>'Bilanz Lufthansa'!I17</f>
        <v>Sonstige langfristige Verbindlichkeiten</v>
      </c>
      <c r="B61" s="88">
        <f>'Bilanz Lufthansa'!J17</f>
        <v>653</v>
      </c>
      <c r="C61" s="36"/>
    </row>
    <row r="62" spans="1:7">
      <c r="A62" s="52" t="s">
        <v>20</v>
      </c>
      <c r="B62" s="53">
        <f>SUM(B58:B61)</f>
        <v>14180</v>
      </c>
      <c r="C62" s="70">
        <f>B62/B$69</f>
        <v>0.43681843386112995</v>
      </c>
    </row>
    <row r="63" spans="1:7">
      <c r="A63" s="93" t="str">
        <f>'Bilanz Lufthansa'!I19</f>
        <v xml:space="preserve">Anleihen  </v>
      </c>
      <c r="B63" s="94">
        <f>'Bilanz Lufthansa'!J19</f>
        <v>751</v>
      </c>
      <c r="C63" s="36"/>
    </row>
    <row r="64" spans="1:7">
      <c r="A64" s="87" t="str">
        <f>'Bilanz Lufthansa'!I20</f>
        <v>Rückstellungen</v>
      </c>
      <c r="B64" s="88">
        <f>'Bilanz Lufthansa'!J20</f>
        <v>1075</v>
      </c>
      <c r="C64" s="58">
        <f>B64/B$69</f>
        <v>3.3115642905551107E-2</v>
      </c>
    </row>
    <row r="65" spans="1:13">
      <c r="A65" s="87" t="str">
        <f>'Bilanz Lufthansa'!I21</f>
        <v>Finanzverbindlichkeiten</v>
      </c>
      <c r="B65" s="88">
        <f>'Bilanz Lufthansa'!J21</f>
        <v>588</v>
      </c>
      <c r="C65" s="58">
        <f>B65/B$69</f>
        <v>1.8113486538106092E-2</v>
      </c>
    </row>
    <row r="66" spans="1:13">
      <c r="A66" s="87" t="str">
        <f>'Bilanz Lufthansa'!I22</f>
        <v>Lieferantenverbindlichkeiten</v>
      </c>
      <c r="B66" s="88">
        <f>'Bilanz Lufthansa'!J22</f>
        <v>4847</v>
      </c>
      <c r="C66" s="70">
        <f>B66/B$69</f>
        <v>0.1493130429425174</v>
      </c>
      <c r="D66" s="33" t="s">
        <v>21</v>
      </c>
    </row>
    <row r="67" spans="1:13">
      <c r="A67" s="87" t="str">
        <f>'Bilanz Lufthansa'!I23</f>
        <v>Übrige Verbindlichkeiten</v>
      </c>
      <c r="B67" s="88">
        <f>'Bilanz Lufthansa'!J23</f>
        <v>5176</v>
      </c>
      <c r="C67" s="36"/>
    </row>
    <row r="68" spans="1:13">
      <c r="A68" s="52" t="s">
        <v>75</v>
      </c>
      <c r="B68" s="53">
        <f>SUM(B63:B67)</f>
        <v>12437</v>
      </c>
      <c r="C68" s="70">
        <f>B68/B$69</f>
        <v>0.38312488448031545</v>
      </c>
    </row>
    <row r="69" spans="1:13">
      <c r="A69" s="56" t="s">
        <v>5</v>
      </c>
      <c r="B69" s="57">
        <f>B57+B62+B68</f>
        <v>32462</v>
      </c>
      <c r="C69" s="70">
        <f>B69/B$69</f>
        <v>1</v>
      </c>
    </row>
    <row r="71" spans="1:13">
      <c r="A71" s="33" t="s">
        <v>137</v>
      </c>
      <c r="G71" s="33">
        <v>4</v>
      </c>
    </row>
    <row r="72" spans="1:13">
      <c r="A72" s="37" t="s">
        <v>171</v>
      </c>
      <c r="B72" s="35"/>
      <c r="C72" s="35"/>
      <c r="D72" s="35"/>
      <c r="E72" s="35"/>
      <c r="F72" s="35"/>
      <c r="G72" s="35"/>
      <c r="H72" s="101"/>
      <c r="I72" s="101"/>
      <c r="J72" s="101"/>
      <c r="K72" s="101"/>
      <c r="L72" s="101"/>
      <c r="M72" s="101"/>
    </row>
    <row r="73" spans="1:13">
      <c r="A73" s="37" t="s">
        <v>172</v>
      </c>
      <c r="B73" s="35"/>
      <c r="C73" s="35"/>
      <c r="D73" s="35"/>
      <c r="E73" s="37"/>
      <c r="F73" s="37"/>
      <c r="G73" s="35"/>
      <c r="H73" s="101"/>
      <c r="I73" s="101"/>
      <c r="J73" s="101"/>
      <c r="K73" s="101"/>
      <c r="L73" s="101"/>
      <c r="M73" s="101"/>
    </row>
    <row r="74" spans="1:13">
      <c r="A74" s="37" t="s">
        <v>173</v>
      </c>
      <c r="B74" s="35"/>
      <c r="C74" s="35"/>
      <c r="D74" s="37"/>
      <c r="E74" s="35"/>
      <c r="F74" s="35"/>
      <c r="G74" s="35"/>
      <c r="H74" s="101"/>
      <c r="I74" s="101"/>
      <c r="J74" s="101"/>
      <c r="K74" s="101"/>
      <c r="L74" s="101"/>
      <c r="M74" s="101"/>
    </row>
    <row r="75" spans="1:13">
      <c r="A75" s="37" t="s">
        <v>88</v>
      </c>
      <c r="B75" s="35"/>
      <c r="C75" s="35"/>
      <c r="D75" s="35"/>
      <c r="E75" s="35"/>
      <c r="F75" s="35"/>
      <c r="G75" s="35"/>
      <c r="H75" s="101"/>
      <c r="I75" s="101"/>
      <c r="J75" s="101"/>
      <c r="K75" s="101"/>
      <c r="L75" s="101"/>
      <c r="M75" s="101"/>
    </row>
    <row r="93" spans="1:2">
      <c r="A93" s="33" t="s">
        <v>138</v>
      </c>
    </row>
    <row r="94" spans="1:2">
      <c r="A94" s="35" t="s">
        <v>121</v>
      </c>
      <c r="B94" s="35"/>
    </row>
    <row r="100" spans="7:7">
      <c r="G100" s="33">
        <v>4</v>
      </c>
    </row>
    <row r="113" spans="1:7">
      <c r="A113" s="33" t="s">
        <v>139</v>
      </c>
    </row>
    <row r="114" spans="1:7">
      <c r="A114" s="35" t="s">
        <v>131</v>
      </c>
      <c r="B114" s="37"/>
      <c r="G114" s="33">
        <v>4</v>
      </c>
    </row>
    <row r="115" spans="1:7">
      <c r="A115" s="33" t="s">
        <v>140</v>
      </c>
    </row>
    <row r="116" spans="1:7">
      <c r="A116" s="34" t="s">
        <v>89</v>
      </c>
    </row>
    <row r="117" spans="1:7">
      <c r="A117" s="35" t="s">
        <v>132</v>
      </c>
      <c r="G117" s="33">
        <v>3</v>
      </c>
    </row>
    <row r="118" spans="1:7">
      <c r="A118" s="35" t="s">
        <v>90</v>
      </c>
      <c r="B118" s="35"/>
      <c r="C118" s="36"/>
    </row>
    <row r="119" spans="1:7">
      <c r="A119" s="35" t="s">
        <v>91</v>
      </c>
      <c r="B119" s="35"/>
      <c r="C119" s="35"/>
      <c r="D119" s="36"/>
    </row>
    <row r="120" spans="1:7">
      <c r="A120" s="33" t="s">
        <v>141</v>
      </c>
    </row>
    <row r="121" spans="1:7">
      <c r="A121" s="34" t="s">
        <v>92</v>
      </c>
    </row>
    <row r="122" spans="1:7">
      <c r="A122" s="37" t="s">
        <v>93</v>
      </c>
      <c r="B122" s="35"/>
      <c r="C122" s="35"/>
      <c r="G122" s="33">
        <v>2</v>
      </c>
    </row>
    <row r="123" spans="1:7">
      <c r="A123" s="38" t="s">
        <v>94</v>
      </c>
    </row>
    <row r="124" spans="1:7">
      <c r="A124" s="36" t="s">
        <v>95</v>
      </c>
    </row>
    <row r="125" spans="1:7">
      <c r="A125" s="36" t="s">
        <v>96</v>
      </c>
    </row>
    <row r="126" spans="1:7">
      <c r="A126" s="36" t="s">
        <v>97</v>
      </c>
    </row>
    <row r="127" spans="1:7">
      <c r="A127" s="36" t="s">
        <v>98</v>
      </c>
    </row>
    <row r="128" spans="1:7">
      <c r="A128" s="36" t="s">
        <v>99</v>
      </c>
    </row>
    <row r="129" spans="1:7">
      <c r="A129" s="36" t="s">
        <v>100</v>
      </c>
    </row>
    <row r="130" spans="1:7">
      <c r="A130" s="36" t="s">
        <v>101</v>
      </c>
    </row>
    <row r="131" spans="1:7">
      <c r="A131" s="36" t="s">
        <v>102</v>
      </c>
    </row>
    <row r="133" spans="1:7">
      <c r="A133" s="34" t="s">
        <v>142</v>
      </c>
      <c r="G133" s="33">
        <v>2</v>
      </c>
    </row>
    <row r="134" spans="1:7">
      <c r="A134" s="37" t="s">
        <v>143</v>
      </c>
      <c r="B134" s="35"/>
      <c r="C134" s="35"/>
      <c r="D134" s="35"/>
      <c r="E134" s="35"/>
      <c r="G134" s="33">
        <f>SUM(G2:G133)</f>
        <v>49</v>
      </c>
    </row>
  </sheetData>
  <mergeCells count="1">
    <mergeCell ref="E57:E58"/>
  </mergeCells>
  <phoneticPr fontId="14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Lufthansa</vt:lpstr>
      <vt:lpstr>GuV Lufthansa</vt:lpstr>
      <vt:lpstr>Analyse Lufthansa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2016-11-25T13:19:26Z</cp:lastPrinted>
  <dcterms:created xsi:type="dcterms:W3CDTF">2014-10-21T15:14:15Z</dcterms:created>
  <dcterms:modified xsi:type="dcterms:W3CDTF">2017-02-17T09:27:53Z</dcterms:modified>
</cp:coreProperties>
</file>